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S:\OGC_2nd_Audit\07_Outputs\Quarterly Reports\Report 2 - 10 Oct 2024\"/>
    </mc:Choice>
  </mc:AlternateContent>
  <xr:revisionPtr revIDLastSave="0" documentId="13_ncr:1_{F64280D7-DB04-40D2-B730-928AB683ECF8}" xr6:coauthVersionLast="47" xr6:coauthVersionMax="47" xr10:uidLastSave="{00000000-0000-0000-0000-000000000000}"/>
  <workbookProtection workbookAlgorithmName="SHA-512" workbookHashValue="EcgmlpzpmfOMyuTvpuLRem94Uduqc45xANJUS0dZZwk3ot8/ET7Uk1atXDy7q0cWyoJHFY18bi/I7+BjkmvQJw==" workbookSaltValue="wVgH9unPPCVLnzLSXGvXRQ==" workbookSpinCount="100000" lockStructure="1"/>
  <bookViews>
    <workbookView xWindow="-120" yWindow="-120" windowWidth="29040" windowHeight="17640" tabRatio="859" xr2:uid="{00000000-000D-0000-FFFF-FFFF00000000}"/>
  </bookViews>
  <sheets>
    <sheet name="Cover sheet" sheetId="45" r:id="rId1"/>
    <sheet name="Introduction" sheetId="11" r:id="rId2"/>
    <sheet name="Explanations" sheetId="44" r:id="rId3"/>
    <sheet name="Acknowledgements" sheetId="13" r:id="rId4"/>
    <sheet name="Data quality dashboard" sheetId="20" r:id="rId5"/>
    <sheet name="Patient characteristics" sheetId="41" r:id="rId6"/>
    <sheet name="Links" sheetId="21" state="hidden" r:id="rId7"/>
    <sheet name="Lists" sheetId="25" state="hidden" r:id="rId8"/>
    <sheet name="trust_data_quality" sheetId="24" state="hidden" r:id="rId9"/>
    <sheet name="alliance_data_quality" sheetId="23" state="hidden" r:id="rId10"/>
    <sheet name="national_data_quality" sheetId="22" state="hidden" r:id="rId11"/>
    <sheet name="trust_patient_char" sheetId="34" state="hidden" r:id="rId12"/>
    <sheet name="alliance_patient_chars" sheetId="30" state="hidden" r:id="rId13"/>
    <sheet name="national_patient_chars" sheetId="32" state="hidden" r:id="rId14"/>
  </sheets>
  <definedNames>
    <definedName name="_xlnm._FilterDatabase" localSheetId="3" hidden="1">Acknowledgements!$C$15:$C$16</definedName>
    <definedName name="_xlnm._FilterDatabase" localSheetId="8" hidden="1">trust_data_quality!$A$1:$O$121</definedName>
    <definedName name="alliance_dq_cols">Lists!$B$27</definedName>
    <definedName name="alliance_dq_rows">Lists!$B$26</definedName>
    <definedName name="alliance_dq_table">Lists!$B$25</definedName>
    <definedName name="alliance_ptc_cols">Lists!$B$34</definedName>
    <definedName name="alliance_ptc_rows">Lists!$B$35</definedName>
    <definedName name="alliance_ptc_table">Lists!$B$33</definedName>
    <definedName name="denom_missing">Lists!$F$23</definedName>
    <definedName name="dq_cell_ref_col_names">Lists!$D$9</definedName>
    <definedName name="dq_cell_ref_matrix">Lists!$C$9</definedName>
    <definedName name="dq_cell_ref_row_names">Lists!$E$9</definedName>
    <definedName name="dq_cell_ref_table">Lists!$B$9</definedName>
    <definedName name="end_date_england">Lists!$C$44</definedName>
    <definedName name="end_date_england_char">Lists!$G$44</definedName>
    <definedName name="Figure_Xaxis_labels">Lists!$A$49:$L$50</definedName>
    <definedName name="indic_cell_ref_col_names">Lists!$F$26</definedName>
    <definedName name="indic_cell_ref_matrix">Lists!$F$25</definedName>
    <definedName name="indic_cell_ref_row_names">Lists!$F$27</definedName>
    <definedName name="n_ca">Lists!$C$54</definedName>
    <definedName name="n_trusts">Lists!$B$54</definedName>
    <definedName name="n_trusts_in_CA">Links!$F$8</definedName>
    <definedName name="national_dq_cols">Lists!$B$29</definedName>
    <definedName name="national_dq_table">Lists!$B$28</definedName>
    <definedName name="national_ptc_cols">Lists!$B$37</definedName>
    <definedName name="national_ptc_row">Lists!$B$36</definedName>
    <definedName name="_xlnm.Print_Area" localSheetId="0">'Cover sheet'!$A$1:$E$24</definedName>
    <definedName name="_xlnm.Print_Area" localSheetId="2">Explanations!$A$1:$D$42</definedName>
    <definedName name="publication_quarter">Lists!#REF!</definedName>
    <definedName name="publication_year">Lists!$D$44</definedName>
    <definedName name="selected_dq_datasource_l">Links!$H$23</definedName>
    <definedName name="selected_dq_datasource_xc">Links!$H$19</definedName>
    <definedName name="selected_dq_datavar_l">Links!$I$23</definedName>
    <definedName name="selected_dq_datavar_xc">Links!$I$19</definedName>
    <definedName name="selected_dq_denom_l">Links!$E$23</definedName>
    <definedName name="selected_dq_denom_xc">Links!$E$19</definedName>
    <definedName name="selected_dq_denomdescr_l">Links!$G$23</definedName>
    <definedName name="selected_dq_denomdescr_xc">Links!$G$19</definedName>
    <definedName name="selected_dq_descr_l">Links!$B$23</definedName>
    <definedName name="selected_dq_descr_xc">Links!$B$19</definedName>
    <definedName name="selected_dq_name_l">Links!$C$23</definedName>
    <definedName name="selected_dq_name_xc">Links!$C$19</definedName>
    <definedName name="selected_dq_num_l">Links!$F$23</definedName>
    <definedName name="selected_dq_num_xc">Links!$F$19</definedName>
    <definedName name="selected_dq_target_l">Links!$D$23</definedName>
    <definedName name="selected_dq_target_xc">Links!$D$19</definedName>
    <definedName name="selected_dq_time_l">Links!$J$23</definedName>
    <definedName name="selected_dq_time_xc">Links!$J$19</definedName>
    <definedName name="selected_trust_l">Links!#REF!</definedName>
    <definedName name="selected_trust_l_ca_code">Links!#REF!</definedName>
    <definedName name="selected_trust_l_ca_name">Links!#REF!</definedName>
    <definedName name="selected_trust_l_code">Links!#REF!</definedName>
    <definedName name="selected_trust_ptc">Links!$B$13</definedName>
    <definedName name="selected_trust_ptc_ca_code">Links!$E$13</definedName>
    <definedName name="selected_trust_ptc_ca_name">Links!$D$13</definedName>
    <definedName name="selected_trust_ptc_code">Links!$C$13</definedName>
    <definedName name="selected_trust_xc">Links!$B$8</definedName>
    <definedName name="selected_trust_xc_ca_code">Links!$E$8</definedName>
    <definedName name="selected_trust_xc_ca_name">Links!$D$8</definedName>
    <definedName name="selected_trust_xc_code">Links!$C$8</definedName>
    <definedName name="start_date_england">Lists!$B$44</definedName>
    <definedName name="start_date_england_char">Lists!$F$44</definedName>
    <definedName name="table_national_dq">national_data_quality!$A$1:$L$2</definedName>
    <definedName name="table_trust_ca">Lists!$B$58</definedName>
    <definedName name="table_trust_ca_assoc">Lists!$B$59</definedName>
    <definedName name="table_trust_dq">trust_data_quality!$A$1:$O$121</definedName>
    <definedName name="table_trusts_per_CA">Lists!$F$60:$G$81</definedName>
    <definedName name="trust_dq_cols">Lists!$B$24</definedName>
    <definedName name="trust_dq_rows">Lists!$B$23</definedName>
    <definedName name="trust_dq_table">Lists!$B$22</definedName>
    <definedName name="trust_ptc_cols">Lists!$B$32</definedName>
    <definedName name="trust_ptc_rows">Lists!$B$31</definedName>
    <definedName name="trust_ptc_table">Lists!$B$30</definedName>
    <definedName name="trusts_per_CA">Lists!$G$59</definedName>
  </definedNames>
  <calcPr calcId="191029"/>
  <pivotCaches>
    <pivotCache cacheId="0"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25" l="1"/>
  <c r="C54" i="25"/>
  <c r="F27" i="25" l="1"/>
  <c r="F26" i="25"/>
  <c r="F25" i="25"/>
  <c r="C13" i="41" l="1"/>
  <c r="J62" i="25"/>
  <c r="J63" i="25"/>
  <c r="J65" i="25"/>
  <c r="J66" i="25"/>
  <c r="J67" i="25"/>
  <c r="J68" i="25"/>
  <c r="J69" i="25"/>
  <c r="J70" i="25"/>
  <c r="J71" i="25"/>
  <c r="J72" i="25"/>
  <c r="J73" i="25"/>
  <c r="J74" i="25"/>
  <c r="J75" i="25"/>
  <c r="J76" i="25"/>
  <c r="J77" i="25"/>
  <c r="J78" i="25"/>
  <c r="J79" i="25"/>
  <c r="J80" i="25"/>
  <c r="J81" i="25"/>
  <c r="J61" i="25"/>
  <c r="G23" i="41"/>
  <c r="G24" i="41"/>
  <c r="G22" i="41"/>
  <c r="G18" i="41"/>
  <c r="G26" i="41"/>
  <c r="G28" i="41"/>
  <c r="G27" i="41"/>
  <c r="G19" i="41"/>
  <c r="G21" i="41"/>
  <c r="G29" i="41"/>
  <c r="G30" i="41"/>
  <c r="I14" i="25" l="1"/>
  <c r="F24" i="25"/>
  <c r="J84" i="25" l="1"/>
  <c r="J82" i="25"/>
  <c r="U18" i="21"/>
  <c r="B13" i="21" l="1"/>
  <c r="E22" i="41"/>
  <c r="E28" i="41"/>
  <c r="E30" i="41"/>
  <c r="C13" i="21"/>
  <c r="E18" i="41"/>
  <c r="E13" i="21"/>
  <c r="E27" i="41"/>
  <c r="E23" i="41"/>
  <c r="E26" i="41"/>
  <c r="E21" i="41"/>
  <c r="E19" i="41"/>
  <c r="E24" i="41"/>
  <c r="E29" i="41"/>
  <c r="D13" i="21"/>
  <c r="C11" i="41" l="1"/>
  <c r="B54" i="25"/>
  <c r="F29" i="41"/>
  <c r="F19" i="41"/>
  <c r="F26" i="41"/>
  <c r="F22" i="41"/>
  <c r="F18" i="41"/>
  <c r="F23" i="41"/>
  <c r="F21" i="41"/>
  <c r="F30" i="41"/>
  <c r="F28" i="41"/>
  <c r="F27" i="41"/>
  <c r="F24" i="41"/>
  <c r="E27" i="21" l="1"/>
  <c r="H34" i="20"/>
  <c r="H23" i="20"/>
  <c r="I15" i="25"/>
  <c r="I12" i="25"/>
  <c r="I16" i="25"/>
  <c r="I13" i="25"/>
  <c r="I11" i="25"/>
  <c r="J21" i="20"/>
  <c r="G84" i="25" l="1"/>
  <c r="B19" i="21" l="1"/>
  <c r="F19" i="21"/>
  <c r="G19" i="21"/>
  <c r="I19" i="21"/>
  <c r="C19" i="21"/>
  <c r="N76" i="24" a="1"/>
  <c r="N63" i="24" a="1"/>
  <c r="N45" i="24" a="1"/>
  <c r="N41" i="24" a="1"/>
  <c r="N79" i="24" a="1"/>
  <c r="L20" i="23" a="1"/>
  <c r="N101" i="24" a="1"/>
  <c r="L7" i="23" a="1"/>
  <c r="N88" i="24" a="1"/>
  <c r="N55" i="24" a="1"/>
  <c r="N40" i="24" a="1"/>
  <c r="L21" i="23" a="1"/>
  <c r="N56" i="24" a="1"/>
  <c r="L5" i="23" a="1"/>
  <c r="N104" i="24" a="1"/>
  <c r="N52" i="24" a="1"/>
  <c r="N26" i="24" a="1"/>
  <c r="L6" i="23" a="1"/>
  <c r="N17" i="24" a="1"/>
  <c r="N6" i="24" a="1"/>
  <c r="N89" i="24" a="1"/>
  <c r="N85" i="24" a="1"/>
  <c r="N91" i="24" a="1"/>
  <c r="N109" i="24" a="1"/>
  <c r="N4" i="24" a="1"/>
  <c r="N80" i="24" a="1"/>
  <c r="N102" i="24" a="1"/>
  <c r="N69" i="24" a="1"/>
  <c r="N13" i="24" a="1"/>
  <c r="N60" i="24" a="1"/>
  <c r="N108" i="24" a="1"/>
  <c r="N107" i="24" a="1"/>
  <c r="N32" i="24" a="1"/>
  <c r="N112" i="24" a="1"/>
  <c r="N98" i="24" a="1"/>
  <c r="N18" i="24" a="1"/>
  <c r="N114" i="24" a="1"/>
  <c r="N23" i="24" a="1"/>
  <c r="L15" i="23" a="1"/>
  <c r="N68" i="24" a="1"/>
  <c r="N29" i="24" a="1"/>
  <c r="L4" i="23" a="1"/>
  <c r="N58" i="24" a="1"/>
  <c r="N81" i="24" a="1"/>
  <c r="J19" i="21"/>
  <c r="N78" i="24" a="1"/>
  <c r="N33" i="24" a="1"/>
  <c r="N46" i="24" a="1"/>
  <c r="N39" i="24" a="1"/>
  <c r="N100" i="24" a="1"/>
  <c r="N9" i="24" a="1"/>
  <c r="L19" i="23" a="1"/>
  <c r="N54" i="24" a="1"/>
  <c r="N42" i="24" a="1"/>
  <c r="N118" i="24" a="1"/>
  <c r="L13" i="23" a="1"/>
  <c r="N30" i="24" a="1"/>
  <c r="L10" i="23" a="1"/>
  <c r="N22" i="24" a="1"/>
  <c r="N50" i="24" a="1"/>
  <c r="N87" i="24" a="1"/>
  <c r="N24" i="24" a="1"/>
  <c r="N36" i="24" a="1"/>
  <c r="N86" i="24" a="1"/>
  <c r="N11" i="24" a="1"/>
  <c r="N116" i="24" a="1"/>
  <c r="N83" i="24" a="1"/>
  <c r="N38" i="24" a="1"/>
  <c r="N35" i="24" a="1"/>
  <c r="N117" i="24" a="1"/>
  <c r="N94" i="24" a="1"/>
  <c r="N5" i="24" a="1"/>
  <c r="N115" i="24" a="1"/>
  <c r="N71" i="24" a="1"/>
  <c r="L18" i="23" a="1"/>
  <c r="N19" i="24" a="1"/>
  <c r="N84" i="24" a="1"/>
  <c r="L2" i="23" a="1"/>
  <c r="N53" i="24" a="1"/>
  <c r="N90" i="24" a="1"/>
  <c r="N105" i="24" a="1"/>
  <c r="N82" i="24" a="1"/>
  <c r="N7" i="24" a="1"/>
  <c r="N20" i="24" a="1"/>
  <c r="N14" i="24" a="1"/>
  <c r="N12" i="24" a="1"/>
  <c r="N111" i="24" a="1"/>
  <c r="N77" i="24" a="1"/>
  <c r="N61" i="24" a="1"/>
  <c r="N51" i="24" a="1"/>
  <c r="N113" i="24" a="1"/>
  <c r="N66" i="24" a="1"/>
  <c r="N59" i="24" a="1"/>
  <c r="N44" i="24" a="1"/>
  <c r="N92" i="24" a="1"/>
  <c r="L17" i="23" a="1"/>
  <c r="N15" i="24" a="1"/>
  <c r="N25" i="24" a="1"/>
  <c r="N27" i="24" a="1"/>
  <c r="N110" i="24" a="1"/>
  <c r="N31" i="24" a="1"/>
  <c r="N65" i="24" a="1"/>
  <c r="N121" i="24" a="1"/>
  <c r="N62" i="24" a="1"/>
  <c r="N48" i="24" a="1"/>
  <c r="N67" i="24" a="1"/>
  <c r="N72" i="24" a="1"/>
  <c r="N10" i="24" a="1"/>
  <c r="L14" i="23" a="1"/>
  <c r="N74" i="24" a="1"/>
  <c r="N47" i="24" a="1"/>
  <c r="L3" i="23" a="1"/>
  <c r="L11" i="23" a="1"/>
  <c r="N37" i="24" a="1"/>
  <c r="N21" i="24" a="1"/>
  <c r="N16" i="24" a="1"/>
  <c r="N106" i="24" a="1"/>
  <c r="N93" i="24" a="1"/>
  <c r="N43" i="24" a="1"/>
  <c r="N119" i="24" a="1"/>
  <c r="N28" i="24" a="1"/>
  <c r="N34" i="24" a="1"/>
  <c r="N120" i="24" a="1"/>
  <c r="N97" i="24" a="1"/>
  <c r="N8" i="24" a="1"/>
  <c r="N2" i="24" a="1"/>
  <c r="N70" i="24" a="1"/>
  <c r="N49" i="24" a="1"/>
  <c r="N64" i="24" a="1"/>
  <c r="N73" i="24" a="1"/>
  <c r="N57" i="24" a="1"/>
  <c r="N75" i="24" a="1"/>
  <c r="N103" i="24" a="1"/>
  <c r="N95" i="24" a="1"/>
  <c r="L16" i="23" a="1"/>
  <c r="L12" i="23" a="1"/>
  <c r="L8" i="23" a="1"/>
  <c r="N3" i="24" a="1"/>
  <c r="N99" i="24" a="1"/>
  <c r="K2" i="22" l="1" a="1"/>
  <c r="K2" i="22" s="1"/>
  <c r="N92" i="24"/>
  <c r="N117" i="24"/>
  <c r="N70" i="24"/>
  <c r="N111" i="24"/>
  <c r="N69" i="24"/>
  <c r="N56" i="24"/>
  <c r="N103" i="24"/>
  <c r="N110" i="24"/>
  <c r="N13" i="24"/>
  <c r="N119" i="24"/>
  <c r="N106" i="24"/>
  <c r="N80" i="24"/>
  <c r="N86" i="24"/>
  <c r="N95" i="24"/>
  <c r="N107" i="24"/>
  <c r="N76" i="24"/>
  <c r="N97" i="24"/>
  <c r="N24" i="24"/>
  <c r="N16" i="24"/>
  <c r="N72" i="24"/>
  <c r="N91" i="24"/>
  <c r="N8" i="24"/>
  <c r="N41" i="24"/>
  <c r="N93" i="24"/>
  <c r="N43" i="24"/>
  <c r="N52" i="24"/>
  <c r="N84" i="24"/>
  <c r="N34" i="24"/>
  <c r="N30" i="24"/>
  <c r="N14" i="24"/>
  <c r="N27" i="24"/>
  <c r="N35" i="24"/>
  <c r="N62" i="24"/>
  <c r="N33" i="24"/>
  <c r="N2" i="24"/>
  <c r="N26" i="24"/>
  <c r="N40" i="24"/>
  <c r="N77" i="24"/>
  <c r="N67" i="24"/>
  <c r="N109" i="24"/>
  <c r="N115" i="24"/>
  <c r="N85" i="24"/>
  <c r="N6" i="24"/>
  <c r="N79" i="24"/>
  <c r="N105" i="24"/>
  <c r="N82" i="24"/>
  <c r="N100" i="24"/>
  <c r="N83" i="24"/>
  <c r="N12" i="24"/>
  <c r="N99" i="24"/>
  <c r="N58" i="24"/>
  <c r="N65" i="24"/>
  <c r="N3" i="24"/>
  <c r="N78" i="24"/>
  <c r="N9" i="24"/>
  <c r="N18" i="24"/>
  <c r="N114" i="24"/>
  <c r="N55" i="24"/>
  <c r="N98" i="24"/>
  <c r="N88" i="24"/>
  <c r="N5" i="24"/>
  <c r="N112" i="24"/>
  <c r="N74" i="24"/>
  <c r="N46" i="24"/>
  <c r="N113" i="24"/>
  <c r="N71" i="24"/>
  <c r="N60" i="24"/>
  <c r="N4" i="24"/>
  <c r="N104" i="24"/>
  <c r="N66" i="24"/>
  <c r="N116" i="24"/>
  <c r="N118" i="24"/>
  <c r="N68" i="24"/>
  <c r="N38" i="24"/>
  <c r="N32" i="24"/>
  <c r="N28" i="24"/>
  <c r="N53" i="24"/>
  <c r="N31" i="24"/>
  <c r="N44" i="24"/>
  <c r="N50" i="24"/>
  <c r="N15" i="24"/>
  <c r="N10" i="24"/>
  <c r="N90" i="24"/>
  <c r="N39" i="24"/>
  <c r="N11" i="24"/>
  <c r="N49" i="24"/>
  <c r="N29" i="24"/>
  <c r="N47" i="24"/>
  <c r="N73" i="24"/>
  <c r="N7" i="24"/>
  <c r="N64" i="24"/>
  <c r="N89" i="24"/>
  <c r="N42" i="24"/>
  <c r="N57" i="24"/>
  <c r="N20" i="24"/>
  <c r="N87" i="24"/>
  <c r="N101" i="24"/>
  <c r="N102" i="24"/>
  <c r="N19" i="24"/>
  <c r="N17" i="24"/>
  <c r="N81" i="24"/>
  <c r="N94" i="24"/>
  <c r="N121" i="24"/>
  <c r="N22" i="24"/>
  <c r="N37" i="24"/>
  <c r="N36" i="24"/>
  <c r="N45" i="24"/>
  <c r="N54" i="24"/>
  <c r="N108" i="24"/>
  <c r="N75" i="24"/>
  <c r="N23" i="24"/>
  <c r="N51" i="24"/>
  <c r="N48" i="24"/>
  <c r="N21" i="24"/>
  <c r="N59" i="24"/>
  <c r="N63" i="24"/>
  <c r="N120" i="24"/>
  <c r="N61" i="24"/>
  <c r="N25" i="24"/>
  <c r="L6" i="23"/>
  <c r="L14" i="23"/>
  <c r="L7" i="23"/>
  <c r="L15" i="23"/>
  <c r="L8" i="23"/>
  <c r="L16" i="23"/>
  <c r="L17" i="23"/>
  <c r="L3" i="23"/>
  <c r="L10" i="23"/>
  <c r="L18" i="23"/>
  <c r="L4" i="23"/>
  <c r="L11" i="23"/>
  <c r="L19" i="23"/>
  <c r="L12" i="23"/>
  <c r="L20" i="23"/>
  <c r="L5" i="23"/>
  <c r="L13" i="23"/>
  <c r="L21" i="23"/>
  <c r="L2" i="23"/>
  <c r="C21" i="20"/>
  <c r="K19" i="20"/>
  <c r="K4" i="20"/>
  <c r="K7" i="20"/>
  <c r="K13" i="20"/>
  <c r="L9" i="23" a="1"/>
  <c r="E19" i="21"/>
  <c r="N96" i="24" a="1"/>
  <c r="G28" i="20"/>
  <c r="D19" i="21"/>
  <c r="H19" i="21"/>
  <c r="N96" i="24" l="1"/>
  <c r="O78" i="24" s="1"/>
  <c r="F26" i="21"/>
  <c r="F27" i="21" s="1"/>
  <c r="K10" i="20"/>
  <c r="L9" i="23"/>
  <c r="O110" i="24"/>
  <c r="K16" i="20"/>
  <c r="F28" i="20"/>
  <c r="O34" i="24" l="1"/>
  <c r="O104" i="24"/>
  <c r="O51" i="24"/>
  <c r="O101" i="24"/>
  <c r="O98" i="24"/>
  <c r="O76" i="24"/>
  <c r="O116" i="24"/>
  <c r="O16" i="24"/>
  <c r="O35" i="24"/>
  <c r="O20" i="24"/>
  <c r="O55" i="24"/>
  <c r="O56" i="24"/>
  <c r="O117" i="24"/>
  <c r="O58" i="24"/>
  <c r="O44" i="24"/>
  <c r="O93" i="24"/>
  <c r="O45" i="24"/>
  <c r="O109" i="24"/>
  <c r="O121" i="24"/>
  <c r="O38" i="24"/>
  <c r="O91" i="24"/>
  <c r="O13" i="24"/>
  <c r="O10" i="24"/>
  <c r="O120" i="24"/>
  <c r="O112" i="24"/>
  <c r="O83" i="24"/>
  <c r="O23" i="24"/>
  <c r="O7" i="24"/>
  <c r="O4" i="24"/>
  <c r="O115" i="24"/>
  <c r="O48" i="24"/>
  <c r="O29" i="24"/>
  <c r="O2" i="24"/>
  <c r="O25" i="24"/>
  <c r="O9" i="24"/>
  <c r="O61" i="24"/>
  <c r="O80" i="24"/>
  <c r="O8" i="24"/>
  <c r="O87" i="24"/>
  <c r="O114" i="24"/>
  <c r="O92" i="24"/>
  <c r="O74" i="24"/>
  <c r="O85" i="24"/>
  <c r="O72" i="24"/>
  <c r="O77" i="24"/>
  <c r="O22" i="24"/>
  <c r="O79" i="24"/>
  <c r="O40" i="24"/>
  <c r="O11" i="24"/>
  <c r="O43" i="24"/>
  <c r="O33" i="24"/>
  <c r="O60" i="24"/>
  <c r="O65" i="24"/>
  <c r="O3" i="24"/>
  <c r="O81" i="24"/>
  <c r="O62" i="24"/>
  <c r="O99" i="24"/>
  <c r="O90" i="24"/>
  <c r="O21" i="24"/>
  <c r="O32" i="24"/>
  <c r="O39" i="24"/>
  <c r="O27" i="24"/>
  <c r="O118" i="24"/>
  <c r="O113" i="24"/>
  <c r="O68" i="24"/>
  <c r="O69" i="24"/>
  <c r="O64" i="24"/>
  <c r="O103" i="24"/>
  <c r="O100" i="24"/>
  <c r="O47" i="24"/>
  <c r="O15" i="24"/>
  <c r="O12" i="24"/>
  <c r="O70" i="24"/>
  <c r="O73" i="24"/>
  <c r="O59" i="24"/>
  <c r="O31" i="24"/>
  <c r="O18" i="24"/>
  <c r="O119" i="24"/>
  <c r="O37" i="24"/>
  <c r="O94" i="24"/>
  <c r="O46" i="24"/>
  <c r="O24" i="24"/>
  <c r="O84" i="24"/>
  <c r="O6" i="24"/>
  <c r="O19" i="24"/>
  <c r="O71" i="24"/>
  <c r="O86" i="24"/>
  <c r="O36" i="24"/>
  <c r="O106" i="24"/>
  <c r="O26" i="24"/>
  <c r="O17" i="24"/>
  <c r="O96" i="24"/>
  <c r="O97" i="24"/>
  <c r="O50" i="24"/>
  <c r="O52" i="24"/>
  <c r="O111" i="24"/>
  <c r="O102" i="24"/>
  <c r="O88" i="24"/>
  <c r="O108" i="24"/>
  <c r="O28" i="24"/>
  <c r="O63" i="24"/>
  <c r="O95" i="24"/>
  <c r="O30" i="24"/>
  <c r="O105" i="24"/>
  <c r="O14" i="24"/>
  <c r="O42" i="24"/>
  <c r="O89" i="24"/>
  <c r="O54" i="24"/>
  <c r="O107" i="24"/>
  <c r="O66" i="24"/>
  <c r="O82" i="24"/>
  <c r="O5" i="24"/>
  <c r="O53" i="24"/>
  <c r="O49" i="24"/>
  <c r="O57" i="24"/>
  <c r="O75" i="24"/>
  <c r="O41" i="24"/>
  <c r="O67" i="24"/>
  <c r="G25" i="20"/>
  <c r="G35" i="20"/>
  <c r="M8" i="23"/>
  <c r="M11" i="23"/>
  <c r="M5" i="23"/>
  <c r="M12" i="23"/>
  <c r="M7" i="23"/>
  <c r="M15" i="23"/>
  <c r="M14" i="23"/>
  <c r="M4" i="23"/>
  <c r="M10" i="23"/>
  <c r="M21" i="23"/>
  <c r="M18" i="23"/>
  <c r="M19" i="23"/>
  <c r="M13" i="23"/>
  <c r="M9" i="23"/>
  <c r="M17" i="23"/>
  <c r="M20" i="23"/>
  <c r="M6" i="23"/>
  <c r="M2" i="23"/>
  <c r="M16" i="23"/>
  <c r="M3" i="23"/>
  <c r="B8" i="21"/>
  <c r="F26" i="20"/>
  <c r="G26" i="20"/>
  <c r="D26" i="21" l="1"/>
  <c r="D26" i="20"/>
  <c r="H26" i="20"/>
  <c r="C8" i="21"/>
  <c r="E8" i="21"/>
  <c r="D8" i="21"/>
  <c r="C11" i="20" l="1"/>
  <c r="C26" i="21"/>
  <c r="C27" i="21" s="1"/>
  <c r="D27" i="20"/>
  <c r="C31" i="20"/>
  <c r="F27" i="20"/>
  <c r="G27" i="20"/>
  <c r="H27" i="20"/>
  <c r="F8" i="21"/>
  <c r="H48" i="20" l="1" a="1"/>
  <c r="H48" i="20" s="1"/>
  <c r="G48" i="20" a="1"/>
  <c r="G48" i="20" s="1"/>
  <c r="F48" i="20" a="1"/>
  <c r="F48" i="20" s="1"/>
  <c r="D48" i="20" a="1"/>
  <c r="D48" i="20" s="1"/>
  <c r="F40" i="20" a="1"/>
  <c r="F40" i="20" s="1"/>
  <c r="F46" i="20" a="1"/>
  <c r="F46" i="20" s="1"/>
  <c r="F42" i="20" a="1"/>
  <c r="F42" i="20" s="1"/>
  <c r="F44" i="20" a="1"/>
  <c r="F44" i="20" s="1"/>
  <c r="F45" i="20" a="1"/>
  <c r="F45" i="20" s="1"/>
  <c r="F36" i="20" a="1"/>
  <c r="F36" i="20" s="1"/>
  <c r="F41" i="20" a="1"/>
  <c r="F41" i="20" s="1"/>
  <c r="F43" i="20" a="1"/>
  <c r="F43" i="20" s="1"/>
  <c r="F39" i="20" a="1"/>
  <c r="F39" i="20" s="1"/>
  <c r="F38" i="20" a="1"/>
  <c r="F38" i="20" s="1"/>
  <c r="F37" i="20" a="1"/>
  <c r="F37" i="20" s="1"/>
  <c r="F47" i="20" a="1"/>
  <c r="F47" i="20" s="1"/>
  <c r="D42" i="20" a="1"/>
  <c r="D42" i="20" s="1"/>
  <c r="H38" i="20" a="1"/>
  <c r="H38" i="20" s="1"/>
  <c r="H47" i="20" a="1"/>
  <c r="H47" i="20" s="1"/>
  <c r="D45" i="20" a="1"/>
  <c r="D45" i="20" s="1"/>
  <c r="G38" i="20" a="1"/>
  <c r="G38" i="20" s="1"/>
  <c r="H36" i="20" a="1"/>
  <c r="H36" i="20" s="1"/>
  <c r="G43" i="20" a="1"/>
  <c r="G43" i="20" s="1"/>
  <c r="G36" i="20" a="1"/>
  <c r="G36" i="20" s="1"/>
  <c r="D46" i="20" a="1"/>
  <c r="D46" i="20" s="1"/>
  <c r="D40" i="20" a="1"/>
  <c r="D40" i="20" s="1"/>
  <c r="H45" i="20" a="1"/>
  <c r="H45" i="20" s="1"/>
  <c r="H39" i="20" a="1"/>
  <c r="H39" i="20" s="1"/>
  <c r="G39" i="20" a="1"/>
  <c r="G39" i="20" s="1"/>
  <c r="G45" i="20" a="1"/>
  <c r="G45" i="20" s="1"/>
  <c r="G42" i="20" a="1"/>
  <c r="G42" i="20" s="1"/>
  <c r="H44" i="20" a="1"/>
  <c r="H44" i="20" s="1"/>
  <c r="H41" i="20" a="1"/>
  <c r="H41" i="20" s="1"/>
  <c r="G47" i="20" a="1"/>
  <c r="G47" i="20" s="1"/>
  <c r="G44" i="20" a="1"/>
  <c r="G44" i="20" s="1"/>
  <c r="D38" i="20" a="1"/>
  <c r="D38" i="20" s="1"/>
  <c r="G41" i="20" a="1"/>
  <c r="G41" i="20" s="1"/>
  <c r="H37" i="20" a="1"/>
  <c r="H37" i="20" s="1"/>
  <c r="D37" i="20" a="1"/>
  <c r="D37" i="20" s="1"/>
  <c r="D43" i="20" a="1"/>
  <c r="D43" i="20" s="1"/>
  <c r="H42" i="20" a="1"/>
  <c r="H42" i="20" s="1"/>
  <c r="D39" i="20" a="1"/>
  <c r="D39" i="20" s="1"/>
  <c r="D44" i="20" a="1"/>
  <c r="D44" i="20" s="1"/>
  <c r="G37" i="20" a="1"/>
  <c r="G37" i="20" s="1"/>
  <c r="D47" i="20" a="1"/>
  <c r="D47" i="20" s="1"/>
  <c r="H46" i="20" a="1"/>
  <c r="H46" i="20" s="1"/>
  <c r="H43" i="20" a="1"/>
  <c r="H43" i="20" s="1"/>
  <c r="D41" i="20" a="1"/>
  <c r="D41" i="20" s="1"/>
  <c r="G46" i="20" a="1"/>
  <c r="G46" i="20" s="1"/>
  <c r="H40" i="20" a="1"/>
  <c r="H40" i="20" s="1"/>
  <c r="G40" i="20" a="1"/>
  <c r="G40" i="20" s="1"/>
  <c r="D36" i="20" a="1"/>
  <c r="D36"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<sst xmlns="http://schemas.openxmlformats.org/spreadsheetml/2006/main" count="1747" uniqueCount="582">
  <si>
    <t>alliance_code</t>
  </si>
  <si>
    <t>alliance_name</t>
  </si>
  <si>
    <t>n</t>
  </si>
  <si>
    <t>A01</t>
  </si>
  <si>
    <t>Cheshire and Merseyside</t>
  </si>
  <si>
    <t>A02</t>
  </si>
  <si>
    <t>East Midlands</t>
  </si>
  <si>
    <t>A03a</t>
  </si>
  <si>
    <t>A03b</t>
  </si>
  <si>
    <t>East of England - South</t>
  </si>
  <si>
    <t>A04</t>
  </si>
  <si>
    <t>Greater Manchester</t>
  </si>
  <si>
    <t>A05</t>
  </si>
  <si>
    <t>Humber, Coast and Vale</t>
  </si>
  <si>
    <t>A06</t>
  </si>
  <si>
    <t>Kent and Medway</t>
  </si>
  <si>
    <t>A07</t>
  </si>
  <si>
    <t>Lancashire and South Cumbria</t>
  </si>
  <si>
    <t>A08a</t>
  </si>
  <si>
    <t>North Central London</t>
  </si>
  <si>
    <t>A08b</t>
  </si>
  <si>
    <t>North East London</t>
  </si>
  <si>
    <t>A09</t>
  </si>
  <si>
    <t>Northern</t>
  </si>
  <si>
    <t>A10</t>
  </si>
  <si>
    <t>A11</t>
  </si>
  <si>
    <t>Somerset, Wiltshire, Avon &amp; Gloucestershire</t>
  </si>
  <si>
    <t>A12</t>
  </si>
  <si>
    <t>South East London</t>
  </si>
  <si>
    <t>A13</t>
  </si>
  <si>
    <t>South Yorkshire and Bassetlaw</t>
  </si>
  <si>
    <t>A14</t>
  </si>
  <si>
    <t>Surrey and Sussex</t>
  </si>
  <si>
    <t>A15</t>
  </si>
  <si>
    <t>Thames Valley</t>
  </si>
  <si>
    <t>A16</t>
  </si>
  <si>
    <t>Wessex</t>
  </si>
  <si>
    <t>A17</t>
  </si>
  <si>
    <t>A18</t>
  </si>
  <si>
    <t>West Midlands</t>
  </si>
  <si>
    <t>A19</t>
  </si>
  <si>
    <t>West Yorkshire and Harrogate</t>
  </si>
  <si>
    <t>trust_code</t>
  </si>
  <si>
    <t>trust_name</t>
  </si>
  <si>
    <t>R0A</t>
  </si>
  <si>
    <t>Manchester University NHS Foundation Trust</t>
  </si>
  <si>
    <t>R0B</t>
  </si>
  <si>
    <t>South Tyneside and Sunderland NHS Foundation Trust</t>
  </si>
  <si>
    <t>R0D</t>
  </si>
  <si>
    <t>University Hospitals Dorset NHS Foundation Trust</t>
  </si>
  <si>
    <t>R1F</t>
  </si>
  <si>
    <t>R1H</t>
  </si>
  <si>
    <t>Barts Health NHS Trust</t>
  </si>
  <si>
    <t>R1K</t>
  </si>
  <si>
    <t>RA2</t>
  </si>
  <si>
    <t>Royal Surrey County Hospital NHS Foundation Trust</t>
  </si>
  <si>
    <t>RA7</t>
  </si>
  <si>
    <t>University Hospitals Bristol and Weston NHS Foundation Trust</t>
  </si>
  <si>
    <t>Peninsula</t>
  </si>
  <si>
    <t>RA9</t>
  </si>
  <si>
    <t>Torbay and South Devon NHS Foundation Trust</t>
  </si>
  <si>
    <t>RAE</t>
  </si>
  <si>
    <t>Bradford Teaching Hospitals NHS Foundation Trust</t>
  </si>
  <si>
    <t>RAJ</t>
  </si>
  <si>
    <t>Mid and South Essex NHS Foundation Trust</t>
  </si>
  <si>
    <t>RAL</t>
  </si>
  <si>
    <t>Royal Free London NHS Foundation Trust</t>
  </si>
  <si>
    <t>RAP</t>
  </si>
  <si>
    <t>North Middlesex University Hospital NHS Trust</t>
  </si>
  <si>
    <t>RAS</t>
  </si>
  <si>
    <t>RAX</t>
  </si>
  <si>
    <t>Kingston Hospital NHS Foundation Trust</t>
  </si>
  <si>
    <t>RBD</t>
  </si>
  <si>
    <t>Dorset County Hospital NHS Foundation Trust</t>
  </si>
  <si>
    <t>RBK</t>
  </si>
  <si>
    <t>Walsall Healthcare NHS Trust</t>
  </si>
  <si>
    <t>RBL</t>
  </si>
  <si>
    <t>Wirral University Teaching Hospital NHS Foundation Trust</t>
  </si>
  <si>
    <t>RBN</t>
  </si>
  <si>
    <t>RBT</t>
  </si>
  <si>
    <t>Mid Cheshire Hospitals NHS Foundation Trust</t>
  </si>
  <si>
    <t>RC9</t>
  </si>
  <si>
    <t>Bedfordshire Hospitals NHS Foundation Trust</t>
  </si>
  <si>
    <t>RCB</t>
  </si>
  <si>
    <t>RCD</t>
  </si>
  <si>
    <t>Harrogate and District NHS Foundation Trust</t>
  </si>
  <si>
    <t>RCF</t>
  </si>
  <si>
    <t>Airedale NHS Foundation Trust</t>
  </si>
  <si>
    <t>RCX</t>
  </si>
  <si>
    <t>RD1</t>
  </si>
  <si>
    <t>RD8</t>
  </si>
  <si>
    <t>Milton Keynes University Hospital NHS Foundation Trust</t>
  </si>
  <si>
    <t>RDE</t>
  </si>
  <si>
    <t>East Suffolk and North Essex NHS Foundation Trust</t>
  </si>
  <si>
    <t>RDU</t>
  </si>
  <si>
    <t>Frimley Health NHS Foundation Trust</t>
  </si>
  <si>
    <t>REF</t>
  </si>
  <si>
    <t>Royal Cornwall Hospitals NHS Trust</t>
  </si>
  <si>
    <t>REM</t>
  </si>
  <si>
    <t>Liverpool University Hospitals NHS Foundation Trust</t>
  </si>
  <si>
    <t>RF4</t>
  </si>
  <si>
    <t>Barking, Havering and Redbridge University Hospitals NHS Trust</t>
  </si>
  <si>
    <t>RFF</t>
  </si>
  <si>
    <t>Barnsley Hospital NHS Foundation Trust</t>
  </si>
  <si>
    <t>RFR</t>
  </si>
  <si>
    <t>RFS</t>
  </si>
  <si>
    <t>Chesterfield Royal Hospital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</si>
  <si>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</si>
  <si>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</si>
  <si>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</si>
  <si>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</si>
  <si>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</si>
  <si>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</si>
  <si>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</si>
  <si>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</si>
  <si>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RH5</t>
  </si>
  <si>
    <t>Somerset NHS Foundation Trust</t>
  </si>
  <si>
    <t>RH8</t>
  </si>
  <si>
    <t>RHM</t>
  </si>
  <si>
    <t>University Hospital Southampton NHS Foundation Trust</t>
  </si>
  <si>
    <t>RHQ</t>
  </si>
  <si>
    <t>Sheffield Teaching Hospitals NHS Foundation Trust</t>
  </si>
  <si>
    <t>RHU</t>
  </si>
  <si>
    <t>RHW</t>
  </si>
  <si>
    <t>Royal Berkshire NHS Foundation Trust</t>
  </si>
  <si>
    <t>RJ1</t>
  </si>
  <si>
    <t>Guy's and St Thomas' NHS Foundation Trust</t>
  </si>
  <si>
    <t>RJ2</t>
  </si>
  <si>
    <t>Lewisham and Greenwich NHS Trust</t>
  </si>
  <si>
    <t>RJ6</t>
  </si>
  <si>
    <t>Croydon Health Services NHS Trust</t>
  </si>
  <si>
    <t>RJ7</t>
  </si>
  <si>
    <t>St George's University Hospitals NHS Foundation Trust</t>
  </si>
  <si>
    <t>RJC</t>
  </si>
  <si>
    <t>RJE</t>
  </si>
  <si>
    <t>RJL</t>
  </si>
  <si>
    <t>Northern Lincolnshire and Goole NHS Foundation Trust</t>
  </si>
  <si>
    <t>RJN</t>
  </si>
  <si>
    <t>East Cheshire NHS Trust</t>
  </si>
  <si>
    <t>RJR</t>
  </si>
  <si>
    <t>RJZ</t>
  </si>
  <si>
    <t>King's College Hospital NHS Foundation Trust</t>
  </si>
  <si>
    <t>RK5</t>
  </si>
  <si>
    <t>Sherwood Forest Hospitals NHS Foundation Trust</t>
  </si>
  <si>
    <t>RK9</t>
  </si>
  <si>
    <t>RKB</t>
  </si>
  <si>
    <t>University Hospitals Coventry and Warwickshire NHS Trust</t>
  </si>
  <si>
    <t>RKE</t>
  </si>
  <si>
    <t>RL4</t>
  </si>
  <si>
    <t>RLQ</t>
  </si>
  <si>
    <t>Wye Valley NHS Trust</t>
  </si>
  <si>
    <t>RLT</t>
  </si>
  <si>
    <t>George Eliot Hospital NHS Trust</t>
  </si>
  <si>
    <t>RM1</t>
  </si>
  <si>
    <t>Norfolk and Norwich University Hospitals NHS Foundation Trust</t>
  </si>
  <si>
    <t>RM3</t>
  </si>
  <si>
    <t>RMC</t>
  </si>
  <si>
    <t>Bolton NHS Foundation Trust</t>
  </si>
  <si>
    <t>RMP</t>
  </si>
  <si>
    <t>Tameside and Glossop Integrated Care NHS Foundation Trust</t>
  </si>
  <si>
    <t>RN3</t>
  </si>
  <si>
    <t>Great Western Hospitals NHS Foundation Trust</t>
  </si>
  <si>
    <t>RN5</t>
  </si>
  <si>
    <t>Hampshire Hospitals NHS Foundation Trust</t>
  </si>
  <si>
    <t>RN7</t>
  </si>
  <si>
    <t>Dartford and Gravesham NHS Trust</t>
  </si>
  <si>
    <t>RNA</t>
  </si>
  <si>
    <t>RNN</t>
  </si>
  <si>
    <t>North Cumbria Integrated Care NHS Foundation Trust</t>
  </si>
  <si>
    <t>RNQ</t>
  </si>
  <si>
    <t>Kettering General Hospital NHS Foundation Trust</t>
  </si>
  <si>
    <t>RNS</t>
  </si>
  <si>
    <t>Northampton General Hospital NHS Trust</t>
  </si>
  <si>
    <t>RNZ</t>
  </si>
  <si>
    <t>Salisbury NHS Foundation Trust</t>
  </si>
  <si>
    <t>RP5</t>
  </si>
  <si>
    <t>Doncaster and Bassetlaw Teaching Hospitals NHS Foundation Trust</t>
  </si>
  <si>
    <t>RPA</t>
  </si>
  <si>
    <t>Medway NHS Foundation Trust</t>
  </si>
  <si>
    <t>RPY</t>
  </si>
  <si>
    <t>RQM</t>
  </si>
  <si>
    <t>Chelsea and Westminster Hospital NHS Foundation Trust</t>
  </si>
  <si>
    <t>RQW</t>
  </si>
  <si>
    <t>RQX</t>
  </si>
  <si>
    <t>RR7</t>
  </si>
  <si>
    <t>Gateshead Health NHS Foundation Trust</t>
  </si>
  <si>
    <t>RR8</t>
  </si>
  <si>
    <t>Leeds Teaching Hospitals NHS Trust</t>
  </si>
  <si>
    <t>RRF</t>
  </si>
  <si>
    <t>Wrightington, Wigan and Leigh NHS Foundation Trust</t>
  </si>
  <si>
    <t>RRK</t>
  </si>
  <si>
    <t>University Hospitals Birmingham NHS Foundation Trust</t>
  </si>
  <si>
    <t>RRV</t>
  </si>
  <si>
    <t>University College London Hospitals NHS Foundation Trust</t>
  </si>
  <si>
    <t>RTD</t>
  </si>
  <si>
    <t>RTE</t>
  </si>
  <si>
    <t>Gloucestershire Hospitals NHS Foundation Trust</t>
  </si>
  <si>
    <t>RTF</t>
  </si>
  <si>
    <t>Northumbria Healthcare NHS Foundation Trust</t>
  </si>
  <si>
    <t>RTG</t>
  </si>
  <si>
    <t>RTH</t>
  </si>
  <si>
    <t>Oxford University Hospitals NHS Foundation Trust</t>
  </si>
  <si>
    <t>RTK</t>
  </si>
  <si>
    <t>Ashford and St Peter's Hospitals NHS Foundation Trust</t>
  </si>
  <si>
    <t>RTP</t>
  </si>
  <si>
    <t>Surrey and Sussex Healthcare NHS Trust</t>
  </si>
  <si>
    <t>RTR</t>
  </si>
  <si>
    <t>South Tees Hospitals NHS Foundation Trust</t>
  </si>
  <si>
    <t>RTX</t>
  </si>
  <si>
    <t>RVJ</t>
  </si>
  <si>
    <t>North Bristol NHS Trust</t>
  </si>
  <si>
    <t>RVR</t>
  </si>
  <si>
    <t>RVV</t>
  </si>
  <si>
    <t>East Kent Hospitals University NHS Foundation Trust</t>
  </si>
  <si>
    <t>RVW</t>
  </si>
  <si>
    <t>RWA</t>
  </si>
  <si>
    <t>Hull University Teaching Hospitals NHS Trust</t>
  </si>
  <si>
    <t>RWD</t>
  </si>
  <si>
    <t>United Lincolnshire Hospitals NHS Trust</t>
  </si>
  <si>
    <t>RWE</t>
  </si>
  <si>
    <t>RWF</t>
  </si>
  <si>
    <t>Maidstone and Tunbridge Wells NHS Trust</t>
  </si>
  <si>
    <t>RWG</t>
  </si>
  <si>
    <t>RWH</t>
  </si>
  <si>
    <t>East and North Hertfordshire NHS Trust</t>
  </si>
  <si>
    <t>RWJ</t>
  </si>
  <si>
    <t>Stockport NHS Foundation Trust</t>
  </si>
  <si>
    <t>RWP</t>
  </si>
  <si>
    <t>Worcestershire Acute Hospitals NHS Trust</t>
  </si>
  <si>
    <t>RWW</t>
  </si>
  <si>
    <t>RWY</t>
  </si>
  <si>
    <t>RX1</t>
  </si>
  <si>
    <t>Nottingham University Hospitals NHS Trust</t>
  </si>
  <si>
    <t>RXC</t>
  </si>
  <si>
    <t>East Sussex Healthcare NHS Trust</t>
  </si>
  <si>
    <t>RXF</t>
  </si>
  <si>
    <t>RXK</t>
  </si>
  <si>
    <t>Sandwell and West Birmingham Hospitals NHS Trust</t>
  </si>
  <si>
    <t>RXL</t>
  </si>
  <si>
    <t>Blackpool Teaching Hospitals NHS Foundation Trust</t>
  </si>
  <si>
    <t>RXN</t>
  </si>
  <si>
    <t>Lancashire Teaching Hospitals NHS Foundation Trust</t>
  </si>
  <si>
    <t>RXP</t>
  </si>
  <si>
    <t>County Durham and Darlington NHS Foundation Trust</t>
  </si>
  <si>
    <t>RXQ</t>
  </si>
  <si>
    <t>Buckinghamshire Healthcare NHS Trust</t>
  </si>
  <si>
    <t>RXR</t>
  </si>
  <si>
    <t>East Lancashire Hospitals NHS Trust</t>
  </si>
  <si>
    <t>RXW</t>
  </si>
  <si>
    <t>Shrewsbury and Telford Hospital NHS Trust</t>
  </si>
  <si>
    <t>RYJ</t>
  </si>
  <si>
    <t>Imperial College Healthcare NHS Trust</t>
  </si>
  <si>
    <t>RYR</t>
  </si>
  <si>
    <t>Trust name</t>
  </si>
  <si>
    <t>name</t>
  </si>
  <si>
    <t>NA</t>
  </si>
  <si>
    <t>Grand Total</t>
  </si>
  <si>
    <t>Count of trust_name</t>
  </si>
  <si>
    <t>Denominator:</t>
  </si>
  <si>
    <t xml:space="preserve"> </t>
  </si>
  <si>
    <t>Numerator:</t>
  </si>
  <si>
    <t>This sheet links user selection on the dashboard with codes etc required to query data sheets and return values to dashboard</t>
  </si>
  <si>
    <t>NATIONAL RESULTS</t>
  </si>
  <si>
    <t>n_trusts_in_CA</t>
  </si>
  <si>
    <t>cell name:</t>
  </si>
  <si>
    <t>cell value:</t>
  </si>
  <si>
    <t>Denominator (N)</t>
  </si>
  <si>
    <t>stage_p</t>
  </si>
  <si>
    <t>ps_p</t>
  </si>
  <si>
    <t>morph_p</t>
  </si>
  <si>
    <t>route_p</t>
  </si>
  <si>
    <t>basis_p</t>
  </si>
  <si>
    <t>ethnicity_p</t>
  </si>
  <si>
    <t>National</t>
  </si>
  <si>
    <t>dq_descr</t>
  </si>
  <si>
    <t>dq_name</t>
  </si>
  <si>
    <t>BAR CHART - DATA QUALITY</t>
  </si>
  <si>
    <t>bar_chart_dq_selected_trust_Xaxis</t>
  </si>
  <si>
    <t>bar_chart_dq_selected_trust_Yaxis</t>
  </si>
  <si>
    <t>SELECTED DATA QUALITY DOMAIN:</t>
  </si>
  <si>
    <t>selected_dq_value</t>
  </si>
  <si>
    <t>selected_dq_rank</t>
  </si>
  <si>
    <t>Data completeness for Basis of Diagnosis</t>
  </si>
  <si>
    <t>Data completeness for Ethnicity</t>
  </si>
  <si>
    <t>Data completeness for Performance Status</t>
  </si>
  <si>
    <t>Data completeness for Route to diagnosis</t>
  </si>
  <si>
    <t>selected_indicator_trust_value</t>
  </si>
  <si>
    <t>selected_indicator_trust_rank</t>
  </si>
  <si>
    <t xml:space="preserve">Max number of trusts per CA: </t>
  </si>
  <si>
    <t>bar_chart_dq_target_Xaxis</t>
  </si>
  <si>
    <t>bar_chart_dq_target_Yaxis</t>
  </si>
  <si>
    <t>1 (most deprived)</t>
  </si>
  <si>
    <t>5 (least deprived)</t>
  </si>
  <si>
    <t>NATIONAL</t>
  </si>
  <si>
    <t>TRUST</t>
  </si>
  <si>
    <t>RM Partners</t>
  </si>
  <si>
    <t>Please select a NHS TRUST from the dropdown box below:</t>
  </si>
  <si>
    <t>p_imdleast</t>
  </si>
  <si>
    <t>p_imd2</t>
  </si>
  <si>
    <t>p_imd3</t>
  </si>
  <si>
    <t>p_imd4</t>
  </si>
  <si>
    <t>p_imdmost</t>
  </si>
  <si>
    <t>The Royal College of Surgeons of England is an independent professional body committed to enabling surgeons to achieve and maintain the highest standards of surgical practice and patient care. As part of this it supports Audit and the evaluation of clinical effectiveness for surgery. Registered Charity no: 212808</t>
  </si>
  <si>
    <t>University Hospitals Sussex NHS Foundation Trust</t>
  </si>
  <si>
    <t>dq_demon</t>
  </si>
  <si>
    <t>Data source:</t>
  </si>
  <si>
    <t xml:space="preserve">Data variable: </t>
  </si>
  <si>
    <t>Labels for x axis of figure on dashboard:</t>
  </si>
  <si>
    <t>denominator value at which data considered missing:</t>
  </si>
  <si>
    <t>denom_missing</t>
  </si>
  <si>
    <t>label_not_available</t>
  </si>
  <si>
    <t>indic_cell_ref_matrix</t>
  </si>
  <si>
    <t>indic_cell_ref_col_names</t>
  </si>
  <si>
    <t>indic_cell_ref_row_names</t>
  </si>
  <si>
    <t xml:space="preserve">cell value: </t>
  </si>
  <si>
    <t>Table containing features of data quality metrics presented on the dashboard</t>
  </si>
  <si>
    <t>start_date_england</t>
  </si>
  <si>
    <t>end_date_england</t>
  </si>
  <si>
    <t xml:space="preserve">range name: </t>
  </si>
  <si>
    <t>Figure_Xaxis_labels</t>
  </si>
  <si>
    <t>KEY</t>
  </si>
  <si>
    <t>dropdown lists on dashboards</t>
  </si>
  <si>
    <t>dynamic text for front end worksheets</t>
  </si>
  <si>
    <t>publication_year</t>
  </si>
  <si>
    <t>publication_quarter</t>
  </si>
  <si>
    <t>Time period over which data completeness evaluated:</t>
  </si>
  <si>
    <t>CANCER ALLIANCE</t>
  </si>
  <si>
    <t>n_trusts</t>
  </si>
  <si>
    <t>n_ca</t>
  </si>
  <si>
    <t>Count of trusts and CA:</t>
  </si>
  <si>
    <t>selected_trust_ptc</t>
  </si>
  <si>
    <t>selected_trust_xc</t>
  </si>
  <si>
    <t>selected_trust_xc_code</t>
  </si>
  <si>
    <t>selected_trust_xc_ca_name</t>
  </si>
  <si>
    <t>selected_trust_xc_ca_code</t>
  </si>
  <si>
    <t>selected_trust_ptc_code</t>
  </si>
  <si>
    <t>selected_trust_ptc_ca_name</t>
  </si>
  <si>
    <t>selected_trust_ptc_ca_code</t>
  </si>
  <si>
    <t>SELECTED TRUST:</t>
  </si>
  <si>
    <t>Please select a DATA QUALITY metric from the dropdown box below:</t>
  </si>
  <si>
    <t>Target (%):</t>
  </si>
  <si>
    <t>INDEX OF MULTIPLE DEPRIVATION QUINTILE</t>
  </si>
  <si>
    <t>Proportion complete (%)</t>
  </si>
  <si>
    <t>selected_dq_descr_xc</t>
  </si>
  <si>
    <t>selected_dq_name_xc</t>
  </si>
  <si>
    <t>selected_dq_target_xc</t>
  </si>
  <si>
    <t>selected_dq_denom_xc</t>
  </si>
  <si>
    <t>Used in dashboard presenting cross sectional data</t>
  </si>
  <si>
    <t>Used in dashboard presenting patient characteristics</t>
  </si>
  <si>
    <t>Cross section data quality worksheet - cell ref matrix</t>
  </si>
  <si>
    <t>Cross section data quality worksheet - cell ref col names</t>
  </si>
  <si>
    <t>Cross section data quality - cell ref row names</t>
  </si>
  <si>
    <t>Patient characteristic data quality worksheet - cell ref matrix</t>
  </si>
  <si>
    <t>Patient characteristic data quality - cell ref row names</t>
  </si>
  <si>
    <t>Patient characteristicdata quality worksheet - cell ref col names</t>
  </si>
  <si>
    <t>Patient characteristic data quality worksheet - cell ref col names</t>
  </si>
  <si>
    <t>range value:</t>
  </si>
  <si>
    <t>range name:</t>
  </si>
  <si>
    <t>dq_cell_ref_matrix</t>
  </si>
  <si>
    <t>dq_cell_ref_col_names</t>
  </si>
  <si>
    <t>dq_cell_ref_row_names</t>
  </si>
  <si>
    <t>dq_cell_ref_table</t>
  </si>
  <si>
    <t>selected_dq_num_xc</t>
  </si>
  <si>
    <t>selected_dq_datasource_xc</t>
  </si>
  <si>
    <t>selected_dq_datavar_xc</t>
  </si>
  <si>
    <t>selected_dq_denomdescr_xc</t>
  </si>
  <si>
    <t>selected_dq_time_xc</t>
  </si>
  <si>
    <t>Lists!A10:I10</t>
  </si>
  <si>
    <t>table_trust_ca_assoc</t>
  </si>
  <si>
    <t>trusts_per_CA</t>
  </si>
  <si>
    <t>trust_dq_table</t>
  </si>
  <si>
    <t>national_dq_table</t>
  </si>
  <si>
    <t>trust_dq_rows</t>
  </si>
  <si>
    <t>trust_dq_cols</t>
  </si>
  <si>
    <t>national_dq_cols</t>
  </si>
  <si>
    <t>trust_ptc_table</t>
  </si>
  <si>
    <t>trust_ptc_rows</t>
  </si>
  <si>
    <t>trust_ptc_cols</t>
  </si>
  <si>
    <t>national_ptc_cols</t>
  </si>
  <si>
    <t>Note: to include additional data quality metrics in the longitudinal dashboard, add new worksheets with data structured as outlined in worksheet called "stage_p" and ensure names of new worksheets matches those listed in column B (column header: dq_name) in table below</t>
  </si>
  <si>
    <t>national_ptc_row</t>
  </si>
  <si>
    <t>description:</t>
  </si>
  <si>
    <t>Table containing cell references for back end data</t>
  </si>
  <si>
    <t>COLUMNS TO LEFT FOR STATA OUTPUT - COLUMNS TO RIGHT FOR POPULATING DASHBOARD</t>
  </si>
  <si>
    <t>description</t>
  </si>
  <si>
    <t xml:space="preserve">named cells used within worksheet called "data_staging_longitudinal"; replace missing data with: </t>
  </si>
  <si>
    <t>named cells used within worksheet called "data_staging_longitudinal"; Longitudinal data quality worksheet - cell ref matrix</t>
  </si>
  <si>
    <t>named cells used within worksheet called "data_staging_longitudinal"; Longitudinal data quality - cell ref col names</t>
  </si>
  <si>
    <t>named cells used within worksheet called "data_staging_longitudinal"; Longitudinal data quality - cell ref row names</t>
  </si>
  <si>
    <t>List of trusts, mapped to their cancer alliance - trust names listed alphabetically, so users can easlity find their trust of interest in the dropdown menu</t>
  </si>
  <si>
    <t>Cancer Alliance</t>
  </si>
  <si>
    <t>alliance_dq_table</t>
  </si>
  <si>
    <t>alliance_data_quality!$A$2:$A$22</t>
  </si>
  <si>
    <t>alliance_dq_rows</t>
  </si>
  <si>
    <t>alliance_dq_cols</t>
  </si>
  <si>
    <t>alliance_patient_chars!$B$2:$B$22</t>
  </si>
  <si>
    <t>alliance_ptc_table</t>
  </si>
  <si>
    <t>alliance_ptc_cols</t>
  </si>
  <si>
    <t>alliance_ptc_rows</t>
  </si>
  <si>
    <t>Number of trusts per cancer alliance - used to ensure length of table 2 (see worksheet "Dashboard-cross section") is sufficient to list all trusts within the largest cancer alliance - generated using pivot table - will need updating if table containing list of trusts changes</t>
  </si>
  <si>
    <t>N/A</t>
  </si>
  <si>
    <t>Rapid Cancer Registration Data</t>
  </si>
  <si>
    <t>basisofdiagnosis</t>
  </si>
  <si>
    <t>ethniccategory</t>
  </si>
  <si>
    <t>tumour_morphology</t>
  </si>
  <si>
    <t>final_route</t>
  </si>
  <si>
    <t>trust_data_quality!$A$2:$A$123</t>
  </si>
  <si>
    <t>stage</t>
  </si>
  <si>
    <t>CHARACTERISTIC</t>
  </si>
  <si>
    <t>Male</t>
  </si>
  <si>
    <t>Female</t>
  </si>
  <si>
    <t>SEX</t>
  </si>
  <si>
    <t>AGE</t>
  </si>
  <si>
    <t>&lt;60 years</t>
  </si>
  <si>
    <t>60-69 years</t>
  </si>
  <si>
    <t>70-79 years</t>
  </si>
  <si>
    <t>80+ years</t>
  </si>
  <si>
    <t>start_date_england_char</t>
  </si>
  <si>
    <t>end_date_england_char</t>
  </si>
  <si>
    <t>p_genmale</t>
  </si>
  <si>
    <t>p_genfemale</t>
  </si>
  <si>
    <t>p_age60</t>
  </si>
  <si>
    <t>p_age70</t>
  </si>
  <si>
    <t>p_age80</t>
  </si>
  <si>
    <t>p_age80plus</t>
  </si>
  <si>
    <t>trust_patient_char!$B$2:$B$123</t>
  </si>
  <si>
    <t>trust_patient_char!$A$2:$AK$123</t>
  </si>
  <si>
    <t>trust_patient_char!$A$1:$AK$1</t>
  </si>
  <si>
    <t>alliance_patient_chars!$A$2:$AK$22</t>
  </si>
  <si>
    <t>alliance_patient_chars!$A$1:$AK$1</t>
  </si>
  <si>
    <t>national_patient_chars!$A$2:$AJ$2</t>
  </si>
  <si>
    <t>national_patient_chars!$A$1:$AJ$1</t>
  </si>
  <si>
    <t>This work uses data that has been provided by patients and collected by the NHS as part of their care and support, including data that is collated, maintained and quality assured by the National Disease Registration Service, which is part of NHS England. 
Access to the data was facilitated by the NHS England Data Access Request Service.</t>
  </si>
  <si>
    <t>USER GUIDE</t>
  </si>
  <si>
    <t xml:space="preserve">These cells contain dropdown menus where the user can select NHS Trust and Data Quality Metric of interest </t>
  </si>
  <si>
    <t>Acronym</t>
  </si>
  <si>
    <t>Description</t>
  </si>
  <si>
    <t>IMD</t>
  </si>
  <si>
    <t>Index of Multiple Deprivation</t>
  </si>
  <si>
    <t>RCRD</t>
  </si>
  <si>
    <t xml:space="preserve">Table of contents </t>
  </si>
  <si>
    <t>Explanations</t>
  </si>
  <si>
    <t>NATCAN</t>
  </si>
  <si>
    <t>National Cancer Audit Collaborating Centre</t>
  </si>
  <si>
    <t>ICD-10</t>
  </si>
  <si>
    <t>NCRAS</t>
  </si>
  <si>
    <t>NDRS</t>
  </si>
  <si>
    <t>COSD</t>
  </si>
  <si>
    <t>Cancer Outcomes and Services Dataset</t>
  </si>
  <si>
    <t>National Cancer Registration and Analysis Service</t>
  </si>
  <si>
    <t>National Disease Registration Service</t>
  </si>
  <si>
    <t>Rapid cancer registration dataset</t>
  </si>
  <si>
    <t>Healthcare Quality Improvement Partnership</t>
  </si>
  <si>
    <t>HQIP</t>
  </si>
  <si>
    <t>National Clinical Audit and Patient Outcomes Programme</t>
  </si>
  <si>
    <t>NCAPOP</t>
  </si>
  <si>
    <t>International Classification of Diseases 10th revision</t>
  </si>
  <si>
    <t>% among known</t>
  </si>
  <si>
    <t xml:space="preserve">Note: percentages may not add up to 100% due to rounding </t>
  </si>
  <si>
    <t>Calderdale and Huddersfield NHS Foundation Trust</t>
  </si>
  <si>
    <t>RM Partners West London</t>
  </si>
  <si>
    <t>Countess Of Chester Hospital NHS Foundation Trust</t>
  </si>
  <si>
    <t>Dudley Group NHS Foundation Trust</t>
  </si>
  <si>
    <t>Epsom and St Helier University Hospitals NHS Trust</t>
  </si>
  <si>
    <t>Somerset, Wiltshire, Avon and Gloucestershire</t>
  </si>
  <si>
    <t>Hillingdon Hospitals NHS Foundation Trust</t>
  </si>
  <si>
    <t>Homerton Healthcare NHS Foundation Trust</t>
  </si>
  <si>
    <t>Humber and North Yorkshire</t>
  </si>
  <si>
    <t>Isle Of Wight NHS Trust</t>
  </si>
  <si>
    <t>London North West University Healthcare NHS Trust</t>
  </si>
  <si>
    <t>Mersey And West Lancashire Teaching Hospitals NHS Trust</t>
  </si>
  <si>
    <t>Mid Yorkshire Teaching NHS Trust</t>
  </si>
  <si>
    <t>Newcastle Upon Tyne Hospitals NHS Foundation Trust</t>
  </si>
  <si>
    <t>North Tees and Hartlepool NHS Foundation Trust</t>
  </si>
  <si>
    <t>Northern Care Alliance NHS Foundation Trust</t>
  </si>
  <si>
    <t>Portsmouth Hospitals University NHS Trust</t>
  </si>
  <si>
    <t>Princess Alexandra Hospital NHS Trust</t>
  </si>
  <si>
    <t>Queen Elizabeth Hospital, King's Lynn, NHS Foundation Trust</t>
  </si>
  <si>
    <t>Rotherham NHS Foundation Trust</t>
  </si>
  <si>
    <t>Royal Devon University Healthcare NHS Foundation Trust</t>
  </si>
  <si>
    <t>Royal Marsden NHS Foundation Trust</t>
  </si>
  <si>
    <t>Royal United Hospitals Bath NHS Foundation Trust</t>
  </si>
  <si>
    <t>Royal Wolverhampton NHS Trust</t>
  </si>
  <si>
    <t>South Warwickshire University NHS Foundation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</si>
  <si>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</si>
  <si>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</si>
  <si>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</si>
  <si>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</si>
  <si>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</si>
  <si>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Warrington and Halton Teaching Hospitals NHS Foundation Trust</t>
  </si>
  <si>
    <t>West Hertfordshire Teaching Hospitals NHS Trust</t>
  </si>
  <si>
    <t>Whittington Health NHS Trust</t>
  </si>
  <si>
    <t>York and Scarborough Teaching Hospitals NHS Foundation Trust</t>
  </si>
  <si>
    <t>N/A: not applicable</t>
  </si>
  <si>
    <t>Data completeness for Stage at diagnosis (based on TNM)</t>
  </si>
  <si>
    <t>Time periods that this report spans:</t>
  </si>
  <si>
    <t>Further resources on data quality</t>
  </si>
  <si>
    <r>
      <t xml:space="preserve">Please refer to our FAQs for </t>
    </r>
    <r>
      <rPr>
        <u/>
        <sz val="11"/>
        <color rgb="FF000000"/>
        <rFont val="Calibri"/>
        <family val="2"/>
        <scheme val="minor"/>
      </rPr>
      <t>current NDRS regional contacts</t>
    </r>
    <r>
      <rPr>
        <sz val="11"/>
        <color rgb="FF000000"/>
        <rFont val="Calibri"/>
        <family val="2"/>
        <scheme val="minor"/>
      </rPr>
      <t>.</t>
    </r>
  </si>
  <si>
    <t>Data quality dashboard</t>
  </si>
  <si>
    <t>Acknowledgements</t>
  </si>
  <si>
    <t>Patient characteristics</t>
  </si>
  <si>
    <r>
      <rPr>
        <b/>
        <sz val="11"/>
        <rFont val="Calibri"/>
        <family val="2"/>
        <scheme val="minor"/>
      </rPr>
      <t xml:space="preserve">Data sources used by NATCAN: </t>
    </r>
    <r>
      <rPr>
        <sz val="11"/>
        <rFont val="Calibri"/>
        <family val="2"/>
        <scheme val="minor"/>
      </rPr>
      <t>In England, NATCAN receives information from the National Cancer Registration and Analysis Service (NCRAS), part of the National Disease Registration Service (NDRS), NHS England. NDRS collects patient-level data from all NHS acute providers on people with cancer using a range of national data-feeds. This includes the Cancer Registration datasets and the Cancer Outcomes and Services Dataset (COSD). COSD data are submitted to the NDRS on a monthly basis via Multidisciplinary Team electronic data collection systems. Clinical sign-off of data submitted to NDRS is not mandated in England. The information held in the registration dataset is compiled from a number of sources.</t>
    </r>
  </si>
  <si>
    <r>
      <t xml:space="preserve">Handling of small numbers
</t>
    </r>
    <r>
      <rPr>
        <sz val="11"/>
        <rFont val="Calibri"/>
        <family val="2"/>
        <scheme val="minor"/>
      </rPr>
      <t xml:space="preserve">There is no need to suppress small numbers for data completeness metrics, but it is required for patient characteristics to minimise risk of disclosing protected information. For this reason, a longer time period was selected for reporting of patient characteristics (2 years) compared to data quality (1 year) to increase the volume of diagnoses per trust. Thereafter, small numbers were handled as follows: firstly, patient characteristics were only presented where the denominator included </t>
    </r>
    <r>
      <rPr>
        <sz val="11"/>
        <rFont val="Aptos Narrow"/>
        <family val="2"/>
      </rPr>
      <t>≥</t>
    </r>
    <r>
      <rPr>
        <sz val="11"/>
        <rFont val="Calibri"/>
        <family val="2"/>
        <scheme val="minor"/>
      </rPr>
      <t>25 people; secondly, information about patient characteristics is presented as percentages rather than frequencies.</t>
    </r>
  </si>
  <si>
    <t>Note: Functionality in the "Data quality dashboard" and "Patient characteristics" tabs is optimised with the latest Excel version in Microsoft 365. Using older versions of Excel may limit some functions.</t>
  </si>
  <si>
    <t>NOGCA</t>
  </si>
  <si>
    <t>National Oesophago-Gastric Cancer Audit</t>
  </si>
  <si>
    <r>
      <rPr>
        <b/>
        <sz val="11"/>
        <color theme="1"/>
        <rFont val="Calibri"/>
        <family val="2"/>
        <scheme val="minor"/>
      </rPr>
      <t>The following professional organisations are represented by the audit clinical leads:</t>
    </r>
    <r>
      <rPr>
        <sz val="11"/>
        <color theme="1"/>
        <rFont val="Calibri"/>
        <family val="2"/>
        <scheme val="minor"/>
      </rPr>
      <t xml:space="preserve">
</t>
    </r>
    <r>
      <rPr>
        <sz val="8"/>
        <color theme="1"/>
        <rFont val="Wingdings"/>
        <charset val="2"/>
      </rPr>
      <t>l</t>
    </r>
    <r>
      <rPr>
        <sz val="11"/>
        <color theme="1"/>
        <rFont val="Calibri"/>
        <family val="2"/>
      </rPr>
      <t xml:space="preserve"> </t>
    </r>
    <r>
      <rPr>
        <sz val="11"/>
        <color theme="1"/>
        <rFont val="Calibri"/>
        <family val="2"/>
        <scheme val="minor"/>
      </rPr>
      <t xml:space="preserve">The Association of Upper Gastrointestinal Surgery of Great Britain and Ireland (AUGIS) is the speciality society that represents upper gastrointestinal surgeons. Registered Charity no: 1093090
</t>
    </r>
    <r>
      <rPr>
        <sz val="8"/>
        <color theme="1"/>
        <rFont val="Wingdings"/>
        <charset val="2"/>
      </rPr>
      <t>l</t>
    </r>
    <r>
      <rPr>
        <sz val="8"/>
        <color theme="1"/>
        <rFont val="Calibri"/>
        <family val="2"/>
        <scheme val="minor"/>
      </rPr>
      <t xml:space="preserve"> </t>
    </r>
    <r>
      <rPr>
        <sz val="11"/>
        <color theme="1"/>
        <rFont val="Calibri"/>
        <family val="2"/>
        <scheme val="minor"/>
      </rPr>
      <t xml:space="preserve">The British Society of Gastroenterology (BSG) is the specialty society of gastroenterologists. Registered Charity no: 1149074
</t>
    </r>
    <r>
      <rPr>
        <sz val="8"/>
        <color theme="1"/>
        <rFont val="Wingdings"/>
        <charset val="2"/>
      </rPr>
      <t>l</t>
    </r>
    <r>
      <rPr>
        <sz val="11"/>
        <color theme="1"/>
        <rFont val="Calibri"/>
        <family val="2"/>
        <scheme val="minor"/>
      </rPr>
      <t xml:space="preserve"> The Royal College of Radiologists is the professional body for clinical radiologists and clinical oncologists. Registered Charity no: 211540</t>
    </r>
  </si>
  <si>
    <r>
      <rPr>
        <b/>
        <sz val="11"/>
        <color theme="1"/>
        <rFont val="Calibri"/>
        <family val="2"/>
        <scheme val="minor"/>
      </rPr>
      <t>This report was prepared by members of the NOGCA project team:</t>
    </r>
    <r>
      <rPr>
        <sz val="11"/>
        <color theme="1"/>
        <rFont val="Calibri"/>
        <family val="2"/>
        <scheme val="minor"/>
      </rPr>
      <t xml:space="preserve">
David Cromwell – Senior Methodologist, NATCAN
Tom Crosby – Clinical Co-lead, Clinical Oncology, RCR Representative
Karen Darley – Senior Project Manager, NATCAN
James Gossage – Clinical Co-lead, Upper Gastrointestinal Surgery, AUGIS Representative
Amanda McDonell – Data Scientist, NATCAN
Min Hae Park – Methodologist, NATCAN
Betsan Thomas – Deputy Clinical Co-lead, Clinical Oncology, RCR Representative
Nigel Trudgill – Clinical Co-lead, Gastroenterology, BSG Representative</t>
    </r>
  </si>
  <si>
    <t xml:space="preserve">The National Cancer Audit Collaborating Centre (NATCAN) is commissioned by the Healthcare Quality Improvement Partnership (HQIP) as part of the National Clinical Audit and Patient Outcomes Programme (NCAPOP). NATCAN delivers national cancer audits in non-Hodgkin lymphoma, bowel, breast (primary and metastatic), oesophago-gastric, ovarian, kidney, lung, pancreatic and prostate cancers. HQIP is led by a consortium of the Academy of Medical Royal Colleges, the Royal College of Nursing, and National Voices. Its aim is to promote quality improvement in patient outcomes, and in particular, to increase the impact that clinical audit, outcome review programmes and registries have on healthcare quality in England and Wales. HQIP holds the contract to commission, manage and develop the National Clinical Audit and Patient Outcomes Programme (NCAPOP), comprising around 40 projects covering care provided to people with a wide range of medical, surgical and mental health conditions. The programme is funded by NHS England, the Welsh Government and, with some individual projects, other devolved administrations and crown dependencies. 
https://www.hqip.org.uk/national-programmes </t>
  </si>
  <si>
    <t>Number of people with a new diagnosis of oesophago-gastric cancer, with a recorded Basis of Diagnosis</t>
  </si>
  <si>
    <t>Number of people with a new diagnosis of oesophago-gastric cancer, with ethnicity recorded</t>
  </si>
  <si>
    <t>Number of people with a new diagnosis of oesophago-gastric cancer, with morphology recorded</t>
  </si>
  <si>
    <t>Number of people with a new diagnosis of oesophago-gastric cancer, with performance status recorded</t>
  </si>
  <si>
    <t>Number of people with a new diagnosis of oesophago-gastric cancer, with route to diagnosis recorded</t>
  </si>
  <si>
    <t>Number of people with a new diagnosis of oesophago-gastric cancer, with adequate TNM information to stage</t>
  </si>
  <si>
    <t>Number of people with a new diagnosis of oesophago-gastric cancer</t>
  </si>
  <si>
    <t>tumour_performancestatus</t>
  </si>
  <si>
    <r>
      <t xml:space="preserve">The key COSD data requirements for NOGCA are available </t>
    </r>
    <r>
      <rPr>
        <u/>
        <sz val="11"/>
        <rFont val="Calibri"/>
        <family val="2"/>
        <scheme val="minor"/>
      </rPr>
      <t>here</t>
    </r>
    <r>
      <rPr>
        <sz val="11"/>
        <rFont val="Calibri"/>
        <family val="2"/>
        <scheme val="minor"/>
      </rPr>
      <t>.</t>
    </r>
  </si>
  <si>
    <t>Lists!I61:J81</t>
  </si>
  <si>
    <t>trust_data_quality!$A$2:$O$123</t>
  </si>
  <si>
    <t>trust_data_quality!$A$1:$O$1</t>
  </si>
  <si>
    <t>alliance_data_quality!$A$2:$N$22</t>
  </si>
  <si>
    <t>alliance_data_quality!$A$1:$N$1</t>
  </si>
  <si>
    <t>national_data_quality!$A$1:$L$1</t>
  </si>
  <si>
    <t>national_data_quality!$A$2:$L$2</t>
  </si>
  <si>
    <t>Importance of morphology data completeness</t>
  </si>
  <si>
    <t>Information on tumour morphology is essential to the audit for (1) restricting the audit cohort to people diagnosed with epithelial tumours, and (2) characterising the population with oesophago-gastric cancer by specific tumour type, including conducting some analyses by common sub-types. The target for completeness of morphology information in the rapid cancer registration data has been set to 80% (versus 90% for all other variables), to reflect the fact that not everyone diagnosed with oesophago-gastric cancer will have had a tissue sample analysed as part of the diagnostic process.</t>
  </si>
  <si>
    <t xml:space="preserve">Data completeness for Morphology </t>
  </si>
  <si>
    <t>Programme</t>
  </si>
  <si>
    <t>National Cancer Audit Collaborating Centre (NATCAN)</t>
  </si>
  <si>
    <t>Workstream</t>
  </si>
  <si>
    <t>Output title</t>
  </si>
  <si>
    <t>Geographical coverage</t>
  </si>
  <si>
    <t>England</t>
  </si>
  <si>
    <t>Patient cohort*</t>
  </si>
  <si>
    <t xml:space="preserve">Publication date </t>
  </si>
  <si>
    <t>Publication type</t>
  </si>
  <si>
    <t>☐</t>
  </si>
  <si>
    <t>First quarterly data completeness spreadsheet</t>
  </si>
  <si>
    <t xml:space="preserve">☒ </t>
  </si>
  <si>
    <t>Second quarterly data completeness spreadsheet</t>
  </si>
  <si>
    <t>First quarterly clinical performance indicator data release spreadsheet</t>
  </si>
  <si>
    <t>Subsequent quarterly clinical performance indicator data release spreadsheet</t>
  </si>
  <si>
    <t>First quarterly online dashboard data release</t>
  </si>
  <si>
    <t>Subsequent online dashboard data release</t>
  </si>
  <si>
    <t xml:space="preserve">Annual full indicator data release </t>
  </si>
  <si>
    <t>Intended audience</t>
  </si>
  <si>
    <t>Prepared by</t>
  </si>
  <si>
    <t>*Please see further information within the ‘Introduction’ tab.</t>
  </si>
  <si>
    <t>National Oesophago-Gastric Cancer Audit (NOGCA)</t>
  </si>
  <si>
    <t>NOGCA team</t>
  </si>
  <si>
    <t>NHS trusts providing oesophago-gastric cancer care; NHS trust-level teams responsible for COSD data entry and data quality</t>
  </si>
  <si>
    <r>
      <t xml:space="preserve">The purpose of the National Oesophago-Gastric Cancer Audit (NOGCA) is to evaluate the patterns of care and outcomes for people with oesophageal or gastric cancer in England and Wales, and to support services to improve the quality of care. More details of the audit aims and scope can be found at </t>
    </r>
    <r>
      <rPr>
        <u/>
        <sz val="11"/>
        <rFont val="Calibri"/>
        <family val="2"/>
        <scheme val="minor"/>
      </rPr>
      <t>NOGCA.org.uk</t>
    </r>
    <r>
      <rPr>
        <sz val="11"/>
        <rFont val="Calibri"/>
        <family val="2"/>
        <scheme val="minor"/>
      </rPr>
      <t xml:space="preserve">. </t>
    </r>
  </si>
  <si>
    <r>
      <t xml:space="preserve">NOGCA is part of the </t>
    </r>
    <r>
      <rPr>
        <u/>
        <sz val="11"/>
        <rFont val="Calibri"/>
        <family val="2"/>
        <scheme val="minor"/>
      </rPr>
      <t>National Cancer Audit Collaborating Centre (NATCAN)</t>
    </r>
    <r>
      <rPr>
        <sz val="11"/>
        <rFont val="Calibri"/>
        <family val="2"/>
        <scheme val="minor"/>
      </rPr>
      <t xml:space="preserve">, the home of the ten national cancer audits in England and Wales. This national centre of excellence was established to strengthen cancer services by evaluating the process of diagnosis and treatment, and outcomes in multiple cancer sites. </t>
    </r>
  </si>
  <si>
    <t>NOGCA quarterly data only release (April 2023 - March 2024)</t>
  </si>
  <si>
    <t>People diagnosed with oesophageal or gastric cancer in England between 1st April 2023 and 31st March 2024</t>
  </si>
  <si>
    <t>10th October 2024</t>
  </si>
  <si>
    <t>This quarterly report provides an overview of the quality of key data items captured in the rapid cancer registration data for people diagnosed in NHS trusts with oesphageal or gastric cancer in England between 1st April 2023 and 31st March 2024, at NHS trust and Cancer Alliance levels. A high-level summary of patient characteristics is also provided at NHS trust and Cancer Alliance levels. This is the second quarterly report to focus on data quality. From January 2025, the quarterly reports will report on performance indicators relevant to oesophago-gastric cancer. These first quarterly reports on data quality are intended to highlight to trusts where data submissions to COSD could be improved to enable better reporting on performance indicators in the future.</t>
  </si>
  <si>
    <r>
      <t xml:space="preserve">Selection of variables for inclusion in the data quality dashboard
</t>
    </r>
    <r>
      <rPr>
        <sz val="11"/>
        <rFont val="Calibri"/>
        <family val="2"/>
        <scheme val="minor"/>
      </rPr>
      <t>Overall, the RCRD has very good data completeness and many variables are 100% complete across diagnoses; however, some variables have less than 100% completeness, and it is these variables that were selected for reporting. One additional variable, Clinical Nurse Specialist, from COSD is also included as it is the basis for a performance indicator.  When analysing data quality, the NOGCA team recoded values as "missing" that would not be useful in practice and/or are not plausible values. For instance, values such as "not known", "not specified", or "not recorded" were considered to be missing, and implausible values such as performance status values other than 0-4 were considered to be missing.</t>
    </r>
  </si>
  <si>
    <r>
      <rPr>
        <b/>
        <sz val="11"/>
        <color theme="1"/>
        <rFont val="Calibri"/>
        <family val="2"/>
        <scheme val="minor"/>
      </rPr>
      <t>Citation for this document:</t>
    </r>
    <r>
      <rPr>
        <sz val="11"/>
        <color theme="1"/>
        <rFont val="Calibri"/>
        <family val="2"/>
        <scheme val="minor"/>
      </rPr>
      <t xml:space="preserve">
</t>
    </r>
    <r>
      <rPr>
        <sz val="11"/>
        <rFont val="Calibri"/>
        <family val="2"/>
        <scheme val="minor"/>
      </rPr>
      <t>National Oesophago-Gastric Cancer Audit: Quarterly Report October 2024. London: Royal College of Surgeons of England, 2024.</t>
    </r>
    <r>
      <rPr>
        <sz val="11"/>
        <color theme="1"/>
        <rFont val="Calibri"/>
        <family val="2"/>
        <scheme val="minor"/>
      </rPr>
      <t xml:space="preserve">
</t>
    </r>
    <r>
      <rPr>
        <b/>
        <sz val="11"/>
        <color theme="1"/>
        <rFont val="Calibri"/>
        <family val="2"/>
        <scheme val="minor"/>
      </rPr>
      <t>© 2024 Healthcare Quality Improvement Partnership (HQIP)</t>
    </r>
    <r>
      <rPr>
        <sz val="11"/>
        <color theme="1"/>
        <rFont val="Calibri"/>
        <family val="2"/>
        <scheme val="minor"/>
      </rPr>
      <t xml:space="preserve">
Copyright All rights reserved. No part of this publication may be reproduced in any form (including photocopying or storing it in any medium by electronic means and whether or not transiently or incidentally to some other use of this publication) without the written permission of the copyright owner. Applications for the copyright owner’s written permission to reproduce any part of this publication should be addressed to the publisher.</t>
    </r>
  </si>
  <si>
    <t>East of England</t>
  </si>
  <si>
    <t>Removed Christie</t>
  </si>
  <si>
    <t>Removed Clatterbridge</t>
  </si>
  <si>
    <t>Lists!A61:D180</t>
  </si>
  <si>
    <t>Data completeness for Clinical Nurse Specialist (CNS)</t>
  </si>
  <si>
    <t>cns_p</t>
  </si>
  <si>
    <t xml:space="preserve">Number of people with a new diagnosis of oesophago-gastric cancer, with record of if a CNS was seen </t>
  </si>
  <si>
    <t>Core COSD</t>
  </si>
  <si>
    <t>clinicalnursespecialist</t>
  </si>
  <si>
    <t>Lists!A11:I17</t>
  </si>
  <si>
    <t>Lists!A11:A17</t>
  </si>
  <si>
    <t xml:space="preserve">East of England   </t>
  </si>
  <si>
    <r>
      <rPr>
        <b/>
        <sz val="11"/>
        <rFont val="Calibri"/>
        <family val="2"/>
        <scheme val="minor"/>
      </rPr>
      <t xml:space="preserve">Audit cohort: </t>
    </r>
    <r>
      <rPr>
        <sz val="11"/>
        <rFont val="Calibri"/>
        <family val="2"/>
        <scheme val="minor"/>
      </rPr>
      <t xml:space="preserve">The cohort was selected based on ICD-10 codes C15 (Malignant neoplasm of oesophagus) &amp; C16 (Malignant neoplasm of stomach), excluding diagnoses based on death certificate only. In future reports on performance indicators, further criteria will be used to define the cohort of people included in the audit; however, for the purposes of data quality reporting the overall cohort of oesophago-gastric diagnoses was used. Please refer to the </t>
    </r>
    <r>
      <rPr>
        <u/>
        <sz val="11"/>
        <rFont val="Calibri"/>
        <family val="2"/>
        <scheme val="minor"/>
      </rPr>
      <t>NOGCA Scoping Document</t>
    </r>
    <r>
      <rPr>
        <sz val="11"/>
        <rFont val="Calibri"/>
        <family val="2"/>
        <scheme val="minor"/>
      </rPr>
      <t xml:space="preserve"> for more details on further criteria that will be applied to the audit cohort when analysing performance indicators.</t>
    </r>
  </si>
  <si>
    <t xml:space="preserve">Your local Data Liaison Manager, NDRS, will be able to help you find out information about your Cancer Outcomes Services Dataset (COSD) submissions. </t>
  </si>
  <si>
    <t>Data quality metrics are reported as proportion complete and are calculated by dividing a numerator by a denominator, the definitions of which can be found to the right.</t>
  </si>
  <si>
    <t>This NOGCA report allocates records to NHS organisations based on the “trust at diagnosis” recorded within the RCRD dataset. Diagnoses allocated to The Christie or The Clatterbridge are included in their respective Cancer Alliance figures but are not reported at trust-level, as these tertiary centres typically do not diagnose oesophago-gastric cancer.</t>
  </si>
  <si>
    <r>
      <rPr>
        <b/>
        <sz val="11"/>
        <rFont val="Calibri"/>
        <family val="2"/>
        <scheme val="minor"/>
      </rPr>
      <t xml:space="preserve">Data source used in this report: </t>
    </r>
    <r>
      <rPr>
        <sz val="11"/>
        <rFont val="Calibri"/>
        <family val="2"/>
        <scheme val="minor"/>
      </rPr>
      <t xml:space="preserve">For this quarterly report, the NOGCA utilised data from the Rapid Cancer Registration Dataset (RCRD). This dataset is compiled mainly from COSD records, and is made available more quickly than the complete cancer registration dataset. However, the speed of production means that the range of data items is limited and several standard data items in the complete registration dataset are unavailable. It also does not have complete coverage of all patients diagnosed with oesphago-gastric cancer in England during the reporting period. For more information regarding the RCRD, including the data dictionary, visit the </t>
    </r>
    <r>
      <rPr>
        <u/>
        <sz val="11"/>
        <rFont val="Calibri"/>
        <family val="2"/>
        <scheme val="minor"/>
      </rPr>
      <t>RCRD webpage</t>
    </r>
    <r>
      <rPr>
        <sz val="11"/>
        <rFont val="Calibri"/>
        <family val="2"/>
        <scheme val="minor"/>
      </rPr>
      <t xml:space="preserve"> maintained by NHS England. The dataset was received by NATCAN in August 2024 and contained patient data submitted to NDRS by English NHS trusts for people diagnosed between 1st January 2018 and 31st May 2024. The period of 1st April 2023 to 31st March 2024 was selected for reporting data quality as it covers the most recent complete four quarters of data (Q2 2023-Q1 2024). Results are reported for this one year period, rather than quarterly, to ensure sufficiently large numbers of records are included to produce reliable estimates at the trust level. The two year period of 1st April 2022 to 31st March 2024 was selected for the reporting of patient characteristics to avoid reporting based on small numbers at the trust level, particularly for categorical variables with multiple subgroup options.</t>
    </r>
  </si>
  <si>
    <r>
      <t xml:space="preserve">Allocation of diagnoses to trusts
</t>
    </r>
    <r>
      <rPr>
        <sz val="11"/>
        <rFont val="Calibri"/>
        <family val="2"/>
        <scheme val="minor"/>
      </rPr>
      <t>This NOGCA report allocates records to NHS organisations based on the “trust at diagnosis” recorded within the RCRD dataset. The speed of production of the RCRD means that the allocation of diagnoses to trusts is based on the best information available at the time of RCRD production; this can result in some misallocation of diagnoses, particularly to tertiary centres which do not typically diagnose large numbers of people with oesophago-gastric cancer.</t>
    </r>
    <r>
      <rPr>
        <b/>
        <sz val="11"/>
        <rFont val="Calibri"/>
        <family val="2"/>
        <scheme val="minor"/>
      </rPr>
      <t xml:space="preserve"> </t>
    </r>
    <r>
      <rPr>
        <sz val="11"/>
        <rFont val="Calibri"/>
        <family val="2"/>
        <scheme val="minor"/>
      </rPr>
      <t>Diagnoses allocated to The Christie or The Clatterbridge are included in their respective Cancer Alliance figures but are not reported at trust-level, as these tertiary centres typically do not diagnose oesophago-gastric cancer.</t>
    </r>
  </si>
  <si>
    <t>Note: The denominator for a Cancer Alliance can be larger than the sum of the individual trust denominators. This is because diagnoses allocated to The Christie or The Clatterbridge are included in their respective Cancer Alliance figures but are not reported at trust-level, as these tertiary centres typically do not diagnose oesophago-gastric cancer.</t>
  </si>
  <si>
    <t>1 April 2023</t>
  </si>
  <si>
    <t>31 March 2024</t>
  </si>
  <si>
    <t>1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</si>
</sst>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0_ ;\-#,##0.00\ "/>
    <numFmt numFmtId="166" formatCode="0_ ;\-0\ "/>
    <numFmt numFmtId="167" formatCode="0.0"/>
  </numFmts>
  <fonts count="27" x14ac:knownFonts="1">
    <font>
      <sz val="11"/>
      <color theme="1"/>
      <name val="Calibri"/>
      <family val="2"/>
      <scheme val="minor"/>
    </font>
    <font>
      <b/>
      <sz val="11"/>
      <color theme="1"/>
      <name val="Calibri"/>
      <family val="2"/>
      <scheme val="minor"/>
    </font>
    <font>
      <u/>
      <sz val="11"/>
      <color theme="1"/>
      <name val="Calibri"/>
      <family val="2"/>
      <scheme val="minor"/>
    </font>
    <font>
      <sz val="11"/>
      <color theme="1"/>
      <name val="Calibri"/>
      <family val="2"/>
      <scheme val="minor"/>
    </font>
    <font>
      <sz val="8"/>
      <name val="Calibri"/>
      <family val="2"/>
      <scheme val="minor"/>
    </font>
    <font>
      <sz val="10"/>
      <name val="Arial"/>
      <family val="2"/>
    </font>
    <font>
      <sz val="10"/>
      <name val="Arial"/>
      <family val="2"/>
    </font>
    <font>
      <b/>
      <sz val="10"/>
      <name val="Arial"/>
      <family val="2"/>
    </font>
    <font>
      <sz val="10"/>
      <color theme="1"/>
      <name val="Calibri"/>
      <family val="2"/>
      <scheme val="minor"/>
    </font>
    <font>
      <sz val="11"/>
      <name val="Calibri"/>
      <family val="2"/>
      <scheme val="minor"/>
    </font>
    <font>
      <u/>
      <sz val="11"/>
      <color theme="10"/>
      <name val="Calibri"/>
      <family val="2"/>
      <scheme val="minor"/>
    </font>
    <font>
      <u/>
      <sz val="11"/>
      <name val="Calibri"/>
      <family val="2"/>
      <scheme val="minor"/>
    </font>
    <font>
      <sz val="11"/>
      <color theme="1"/>
      <name val="Calibri"/>
      <family val="2"/>
    </font>
    <font>
      <sz val="8"/>
      <color theme="1"/>
      <name val="Wingdings"/>
      <charset val="2"/>
    </font>
    <font>
      <sz val="8"/>
      <color theme="1"/>
      <name val="Calibri"/>
      <family val="2"/>
      <scheme val="minor"/>
    </font>
    <font>
      <b/>
      <u/>
      <sz val="11"/>
      <color theme="1"/>
      <name val="Calibri"/>
      <family val="2"/>
      <scheme val="minor"/>
    </font>
    <font>
      <sz val="11"/>
      <color rgb="FF000000"/>
      <name val="Calibri"/>
      <family val="2"/>
      <scheme val="minor"/>
    </font>
    <font>
      <u/>
      <sz val="11"/>
      <color rgb="FF000000"/>
      <name val="Calibri"/>
      <family val="2"/>
      <scheme val="minor"/>
    </font>
    <font>
      <b/>
      <sz val="14"/>
      <color theme="1"/>
      <name val="Calibri"/>
      <family val="2"/>
      <scheme val="minor"/>
    </font>
    <font>
      <sz val="14"/>
      <color theme="1"/>
      <name val="Calibri"/>
      <family val="2"/>
      <scheme val="minor"/>
    </font>
    <font>
      <b/>
      <sz val="14"/>
      <color rgb="FF000000"/>
      <name val="Calibri"/>
      <family val="2"/>
    </font>
    <font>
      <b/>
      <sz val="11"/>
      <name val="Calibri"/>
      <family val="2"/>
      <scheme val="minor"/>
    </font>
    <font>
      <sz val="11"/>
      <name val="Aptos Narrow"/>
      <family val="2"/>
    </font>
    <font>
      <sz val="11"/>
      <name val="Calibri"/>
      <family val="2"/>
    </font>
    <font>
      <sz val="12"/>
      <color theme="1"/>
      <name val="Calibri"/>
      <family val="2"/>
      <scheme val="minor"/>
    </font>
    <font>
      <i/>
      <sz val="11"/>
      <color rgb="FFFF0000"/>
      <name val="Calibri"/>
      <family val="2"/>
      <scheme val="minor"/>
    </font>
    <font>
      <i/>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0.14999847407452621"/>
        <bgColor theme="0" tint="-0.14999847407452621"/>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theme="0" tint="-0.14999847407452621"/>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theme="0"/>
        <bgColor theme="0" tint="-0.14999847407452621"/>
      </patternFill>
    </fill>
  </fills>
  <borders count="31">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thin">
        <color theme="1"/>
      </bottom>
      <diagonal/>
    </border>
    <border>
      <left/>
      <right/>
      <top style="thin">
        <color theme="1"/>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theme="1"/>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43" fontId="3" fillId="0" borderId="0" applyFont="0" applyFill="0" applyBorder="0" applyAlignment="0" applyProtection="0"/>
    <xf numFmtId="0" fontId="6" fillId="0" borderId="0"/>
    <xf numFmtId="0" fontId="5"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5" fillId="0" borderId="0"/>
    <xf numFmtId="0" fontId="5" fillId="0" borderId="0"/>
    <xf numFmtId="0" fontId="5" fillId="0" borderId="0"/>
    <xf numFmtId="9" fontId="3" fillId="0" borderId="0" applyFont="0" applyFill="0" applyBorder="0" applyAlignment="0" applyProtection="0"/>
    <xf numFmtId="0" fontId="10" fillId="0" borderId="0" applyNumberFormat="0" applyFill="0" applyBorder="0" applyAlignment="0" applyProtection="0"/>
    <xf numFmtId="0" fontId="23" fillId="0" borderId="0"/>
  </cellStyleXfs>
  <cellXfs count="190">
    <xf numFmtId="0" fontId="0" fillId="0" borderId="0" xfId="0"/>
    <xf numFmtId="0" fontId="1" fillId="0" borderId="0" xfId="0" applyFont="1"/>
    <xf numFmtId="1" fontId="0" fillId="0" borderId="0" xfId="0" applyNumberFormat="1"/>
    <xf numFmtId="0" fontId="0" fillId="2" borderId="0" xfId="0" applyFill="1"/>
    <xf numFmtId="2" fontId="0" fillId="0" borderId="0" xfId="0" applyNumberFormat="1"/>
    <xf numFmtId="0" fontId="0" fillId="0" borderId="0" xfId="0" applyAlignment="1">
      <alignment wrapText="1"/>
    </xf>
    <xf numFmtId="0" fontId="1" fillId="0" borderId="5" xfId="0" applyFont="1" applyBorder="1"/>
    <xf numFmtId="0" fontId="0" fillId="3" borderId="5" xfId="0" applyFill="1" applyBorder="1"/>
    <xf numFmtId="0" fontId="0" fillId="0" borderId="6" xfId="0" applyBorder="1"/>
    <xf numFmtId="1" fontId="0" fillId="0" borderId="6" xfId="0" applyNumberFormat="1" applyBorder="1"/>
    <xf numFmtId="0" fontId="1" fillId="0" borderId="6" xfId="0" applyFont="1" applyBorder="1"/>
    <xf numFmtId="1" fontId="1" fillId="0" borderId="6" xfId="0" applyNumberFormat="1" applyFont="1" applyBorder="1"/>
    <xf numFmtId="2" fontId="0" fillId="0" borderId="6" xfId="0" applyNumberFormat="1" applyBorder="1"/>
    <xf numFmtId="2" fontId="1" fillId="0" borderId="5" xfId="0" applyNumberFormat="1" applyFont="1" applyBorder="1"/>
    <xf numFmtId="0" fontId="0" fillId="0" borderId="0" xfId="0" applyAlignment="1">
      <alignment horizontal="right"/>
    </xf>
    <xf numFmtId="0" fontId="0" fillId="3" borderId="11" xfId="0" applyFill="1" applyBorder="1"/>
    <xf numFmtId="2" fontId="0" fillId="3" borderId="11" xfId="0" applyNumberFormat="1" applyFill="1" applyBorder="1"/>
    <xf numFmtId="0" fontId="6" fillId="0" borderId="0" xfId="2"/>
    <xf numFmtId="166" fontId="0" fillId="0" borderId="0" xfId="1" applyNumberFormat="1" applyFont="1"/>
    <xf numFmtId="0" fontId="7" fillId="0" borderId="5" xfId="3" applyFont="1" applyBorder="1"/>
    <xf numFmtId="167" fontId="0" fillId="0" borderId="0" xfId="0" applyNumberFormat="1"/>
    <xf numFmtId="0" fontId="0" fillId="0" borderId="0" xfId="0" applyAlignment="1">
      <alignment vertical="top" wrapText="1"/>
    </xf>
    <xf numFmtId="0" fontId="0" fillId="2" borderId="4" xfId="0" applyFill="1" applyBorder="1"/>
    <xf numFmtId="0" fontId="0" fillId="0" borderId="19" xfId="0" applyBorder="1"/>
    <xf numFmtId="0" fontId="0" fillId="0" borderId="20" xfId="0" applyBorder="1"/>
    <xf numFmtId="0" fontId="0" fillId="0" borderId="21" xfId="0" applyBorder="1"/>
    <xf numFmtId="0" fontId="0" fillId="0" borderId="23" xfId="0" applyBorder="1"/>
    <xf numFmtId="0" fontId="8" fillId="0" borderId="0" xfId="0" applyFont="1"/>
    <xf numFmtId="0" fontId="8" fillId="0" borderId="24" xfId="0" applyFont="1" applyBorder="1" applyAlignment="1">
      <alignment horizontal="center"/>
    </xf>
    <xf numFmtId="0" fontId="7" fillId="0" borderId="5" xfId="2" applyFont="1" applyBorder="1"/>
    <xf numFmtId="166" fontId="5" fillId="3" borderId="11" xfId="1" applyNumberFormat="1" applyFont="1" applyFill="1" applyBorder="1"/>
    <xf numFmtId="0" fontId="0" fillId="6" borderId="5" xfId="0" applyFill="1" applyBorder="1"/>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left" vertical="top"/>
    </xf>
    <xf numFmtId="0" fontId="1" fillId="0" borderId="20" xfId="0" applyFont="1" applyBorder="1"/>
    <xf numFmtId="0" fontId="0" fillId="6" borderId="0" xfId="0" applyFill="1"/>
    <xf numFmtId="0" fontId="0" fillId="0" borderId="19" xfId="0" pivotButton="1" applyBorder="1"/>
    <xf numFmtId="0" fontId="0" fillId="2" borderId="25" xfId="0" applyFill="1" applyBorder="1" applyAlignment="1">
      <alignment horizontal="left"/>
    </xf>
    <xf numFmtId="0" fontId="0" fillId="2" borderId="26" xfId="0" applyFill="1" applyBorder="1"/>
    <xf numFmtId="0" fontId="0" fillId="0" borderId="22" xfId="0" applyBorder="1" applyAlignment="1">
      <alignment horizontal="left"/>
    </xf>
    <xf numFmtId="0" fontId="0" fillId="0" borderId="8" xfId="0" applyBorder="1" applyAlignment="1">
      <alignment horizontal="left"/>
    </xf>
    <xf numFmtId="0" fontId="9" fillId="7" borderId="6" xfId="8" applyFont="1" applyFill="1" applyBorder="1"/>
    <xf numFmtId="0" fontId="9" fillId="8" borderId="6" xfId="8" applyFont="1" applyFill="1" applyBorder="1"/>
    <xf numFmtId="0" fontId="0" fillId="2" borderId="6" xfId="0" applyFill="1" applyBorder="1"/>
    <xf numFmtId="43" fontId="0" fillId="0" borderId="0" xfId="1" applyFont="1"/>
    <xf numFmtId="164" fontId="0" fillId="0" borderId="0" xfId="1" applyNumberFormat="1" applyFont="1"/>
    <xf numFmtId="43" fontId="6" fillId="0" borderId="0" xfId="1" applyFont="1"/>
    <xf numFmtId="2" fontId="6" fillId="0" borderId="0" xfId="2" applyNumberFormat="1"/>
    <xf numFmtId="2" fontId="0" fillId="3" borderId="5" xfId="0" applyNumberFormat="1" applyFill="1" applyBorder="1"/>
    <xf numFmtId="2" fontId="0" fillId="3" borderId="4" xfId="0" applyNumberFormat="1" applyFill="1" applyBorder="1"/>
    <xf numFmtId="2" fontId="0" fillId="3" borderId="0" xfId="0" applyNumberFormat="1" applyFill="1"/>
    <xf numFmtId="2" fontId="0" fillId="0" borderId="4" xfId="0" applyNumberFormat="1" applyBorder="1"/>
    <xf numFmtId="164" fontId="6" fillId="0" borderId="0" xfId="1" applyNumberFormat="1" applyFont="1" applyFill="1"/>
    <xf numFmtId="164" fontId="0" fillId="0" borderId="0" xfId="1" applyNumberFormat="1" applyFont="1" applyFill="1"/>
    <xf numFmtId="0" fontId="5" fillId="6" borderId="5" xfId="3" applyFill="1" applyBorder="1"/>
    <xf numFmtId="0" fontId="5" fillId="2" borderId="0" xfId="3" applyFill="1"/>
    <xf numFmtId="0" fontId="5" fillId="6" borderId="0" xfId="3" applyFill="1"/>
    <xf numFmtId="0" fontId="5" fillId="6" borderId="4" xfId="3" applyFill="1" applyBorder="1"/>
    <xf numFmtId="0" fontId="0" fillId="2" borderId="9" xfId="0" applyFill="1" applyBorder="1"/>
    <xf numFmtId="0" fontId="0" fillId="2" borderId="22" xfId="0" applyFill="1" applyBorder="1"/>
    <xf numFmtId="0" fontId="0" fillId="2" borderId="23" xfId="0" applyFill="1" applyBorder="1"/>
    <xf numFmtId="0" fontId="0" fillId="2" borderId="1" xfId="0" applyFill="1" applyBorder="1"/>
    <xf numFmtId="49" fontId="0" fillId="2" borderId="1" xfId="0" applyNumberFormat="1" applyFill="1" applyBorder="1"/>
    <xf numFmtId="49" fontId="0" fillId="2" borderId="22" xfId="0" applyNumberFormat="1" applyFill="1" applyBorder="1"/>
    <xf numFmtId="0" fontId="0" fillId="2" borderId="19" xfId="0" applyFill="1" applyBorder="1"/>
    <xf numFmtId="0" fontId="0" fillId="2" borderId="20" xfId="0" applyFill="1" applyBorder="1"/>
    <xf numFmtId="0" fontId="2" fillId="0" borderId="0" xfId="0" applyFont="1"/>
    <xf numFmtId="1" fontId="5" fillId="0" borderId="5" xfId="3" applyNumberFormat="1" applyBorder="1"/>
    <xf numFmtId="1" fontId="5" fillId="0" borderId="0" xfId="3" applyNumberFormat="1"/>
    <xf numFmtId="1" fontId="5" fillId="0" borderId="4" xfId="3" applyNumberFormat="1" applyBorder="1"/>
    <xf numFmtId="0" fontId="9" fillId="0" borderId="0" xfId="0" applyFont="1" applyAlignment="1">
      <alignment wrapText="1"/>
    </xf>
    <xf numFmtId="0" fontId="0" fillId="9" borderId="0" xfId="0" applyFill="1"/>
    <xf numFmtId="0" fontId="0" fillId="4" borderId="6" xfId="0" applyFill="1" applyBorder="1"/>
    <xf numFmtId="0" fontId="9" fillId="9" borderId="0" xfId="11" applyFont="1" applyFill="1" applyAlignment="1">
      <alignment wrapText="1"/>
    </xf>
    <xf numFmtId="0" fontId="15" fillId="9" borderId="0" xfId="0" applyFont="1" applyFill="1"/>
    <xf numFmtId="0" fontId="0" fillId="9" borderId="0" xfId="0" applyFill="1" applyAlignment="1">
      <alignment wrapText="1"/>
    </xf>
    <xf numFmtId="0" fontId="0" fillId="9" borderId="27" xfId="0" applyFill="1" applyBorder="1"/>
    <xf numFmtId="0" fontId="0" fillId="9" borderId="1" xfId="0" applyFill="1" applyBorder="1"/>
    <xf numFmtId="0" fontId="16" fillId="9" borderId="0" xfId="11" applyFont="1" applyFill="1" applyAlignment="1">
      <alignment wrapText="1"/>
    </xf>
    <xf numFmtId="0" fontId="1" fillId="9" borderId="0" xfId="0" applyFont="1" applyFill="1" applyAlignment="1">
      <alignment horizontal="left" wrapText="1"/>
    </xf>
    <xf numFmtId="0" fontId="18" fillId="0" borderId="0" xfId="0" applyFont="1"/>
    <xf numFmtId="0" fontId="19" fillId="0" borderId="0" xfId="0" applyFont="1"/>
    <xf numFmtId="1" fontId="19" fillId="0" borderId="0" xfId="0" applyNumberFormat="1" applyFont="1"/>
    <xf numFmtId="0" fontId="19" fillId="0" borderId="0" xfId="0" applyFont="1" applyAlignment="1">
      <alignment horizontal="left"/>
    </xf>
    <xf numFmtId="0" fontId="18" fillId="0" borderId="12" xfId="0" applyFont="1" applyBorder="1" applyAlignment="1">
      <alignment vertical="center"/>
    </xf>
    <xf numFmtId="0" fontId="19" fillId="0" borderId="7" xfId="0" applyFont="1" applyBorder="1"/>
    <xf numFmtId="0" fontId="18" fillId="0" borderId="16" xfId="0" applyFont="1" applyBorder="1" applyAlignment="1">
      <alignment vertical="center"/>
    </xf>
    <xf numFmtId="0" fontId="18" fillId="0" borderId="14" xfId="0" applyFont="1" applyBorder="1" applyAlignment="1">
      <alignment vertical="center"/>
    </xf>
    <xf numFmtId="0" fontId="19" fillId="0" borderId="3" xfId="0" applyFont="1" applyBorder="1"/>
    <xf numFmtId="0" fontId="18" fillId="0" borderId="3" xfId="0" applyFont="1" applyBorder="1" applyAlignment="1">
      <alignment horizontal="center" vertical="center" wrapText="1"/>
    </xf>
    <xf numFmtId="0" fontId="19" fillId="0" borderId="16" xfId="0" applyFont="1" applyBorder="1"/>
    <xf numFmtId="3" fontId="19" fillId="0" borderId="0" xfId="0" applyNumberFormat="1" applyFont="1" applyAlignment="1">
      <alignment horizontal="right" vertical="center" indent="2"/>
    </xf>
    <xf numFmtId="10" fontId="19" fillId="0" borderId="0" xfId="10" applyNumberFormat="1" applyFont="1" applyAlignment="1">
      <alignment horizontal="center" vertical="center"/>
    </xf>
    <xf numFmtId="0" fontId="19" fillId="0" borderId="17" xfId="0" applyFont="1" applyBorder="1" applyAlignment="1">
      <alignment horizontal="center" vertical="center"/>
    </xf>
    <xf numFmtId="0" fontId="19" fillId="0" borderId="14" xfId="0" applyFont="1" applyBorder="1"/>
    <xf numFmtId="3" fontId="19" fillId="0" borderId="3" xfId="0" applyNumberFormat="1" applyFont="1" applyBorder="1" applyAlignment="1">
      <alignment horizontal="right" vertical="center" indent="2"/>
    </xf>
    <xf numFmtId="10" fontId="19" fillId="0" borderId="3" xfId="10" applyNumberFormat="1" applyFont="1" applyBorder="1" applyAlignment="1">
      <alignment horizontal="center" vertical="center"/>
    </xf>
    <xf numFmtId="0" fontId="19" fillId="5" borderId="15" xfId="0" applyFont="1" applyFill="1" applyBorder="1" applyAlignment="1">
      <alignment horizontal="center" vertical="center"/>
    </xf>
    <xf numFmtId="0" fontId="19" fillId="0" borderId="3" xfId="0" applyFont="1" applyBorder="1" applyAlignment="1">
      <alignment vertical="top"/>
    </xf>
    <xf numFmtId="2" fontId="19" fillId="0" borderId="16" xfId="0" applyNumberFormat="1" applyFont="1" applyBorder="1"/>
    <xf numFmtId="2" fontId="19" fillId="0" borderId="0" xfId="0" applyNumberFormat="1" applyFont="1"/>
    <xf numFmtId="2" fontId="19" fillId="0" borderId="14" xfId="0" applyNumberFormat="1" applyFont="1" applyBorder="1"/>
    <xf numFmtId="0" fontId="19" fillId="0" borderId="15" xfId="0" applyFont="1" applyBorder="1" applyAlignment="1">
      <alignment horizontal="center" vertical="center"/>
    </xf>
    <xf numFmtId="167" fontId="19" fillId="0" borderId="0" xfId="0" applyNumberFormat="1" applyFont="1"/>
    <xf numFmtId="0" fontId="19" fillId="0" borderId="0" xfId="0" applyFont="1" applyAlignment="1">
      <alignment horizontal="left" vertical="top" wrapText="1"/>
    </xf>
    <xf numFmtId="0" fontId="19" fillId="0" borderId="0" xfId="0" applyFont="1" applyAlignment="1">
      <alignment horizontal="left" vertical="top" wrapText="1" indent="3"/>
    </xf>
    <xf numFmtId="0" fontId="19" fillId="0" borderId="0" xfId="0" applyFont="1" applyAlignment="1">
      <alignment vertical="top" wrapText="1"/>
    </xf>
    <xf numFmtId="0" fontId="18" fillId="0" borderId="0" xfId="0" applyFont="1" applyAlignment="1">
      <alignment horizontal="left" vertical="top"/>
    </xf>
    <xf numFmtId="0" fontId="19" fillId="0" borderId="0" xfId="0" applyFont="1" applyAlignment="1">
      <alignment horizontal="left" vertical="center"/>
    </xf>
    <xf numFmtId="0" fontId="19" fillId="0" borderId="0" xfId="0" applyFont="1" applyAlignment="1">
      <alignment horizontal="left" vertical="center" indent="3"/>
    </xf>
    <xf numFmtId="0" fontId="18" fillId="0" borderId="0" xfId="0" applyFont="1" applyAlignment="1">
      <alignment horizontal="left" vertical="center"/>
    </xf>
    <xf numFmtId="9" fontId="19" fillId="0" borderId="0" xfId="10" applyFont="1" applyAlignment="1">
      <alignment horizontal="left" vertical="center"/>
    </xf>
    <xf numFmtId="0" fontId="18" fillId="0" borderId="7" xfId="0" applyFont="1" applyBorder="1" applyAlignment="1">
      <alignment horizontal="left" vertical="top" wrapText="1"/>
    </xf>
    <xf numFmtId="0" fontId="20" fillId="0" borderId="0" xfId="0" applyFont="1" applyAlignment="1">
      <alignment vertical="top"/>
    </xf>
    <xf numFmtId="0" fontId="18" fillId="0" borderId="2" xfId="0" applyFont="1" applyBorder="1" applyAlignment="1">
      <alignment horizontal="center"/>
    </xf>
    <xf numFmtId="0" fontId="18" fillId="0" borderId="18" xfId="0" applyFont="1" applyBorder="1" applyAlignment="1">
      <alignment horizontal="center"/>
    </xf>
    <xf numFmtId="0" fontId="18" fillId="0" borderId="16" xfId="0" applyFont="1" applyBorder="1"/>
    <xf numFmtId="0" fontId="19" fillId="0" borderId="17" xfId="0" applyFont="1" applyBorder="1"/>
    <xf numFmtId="0" fontId="19" fillId="0" borderId="16" xfId="0" applyFont="1" applyBorder="1" applyAlignment="1">
      <alignment horizontal="left" indent="2"/>
    </xf>
    <xf numFmtId="0" fontId="19" fillId="0" borderId="0" xfId="0" applyFont="1" applyAlignment="1">
      <alignment horizontal="right"/>
    </xf>
    <xf numFmtId="165" fontId="19" fillId="0" borderId="17" xfId="1" applyNumberFormat="1" applyFont="1" applyBorder="1" applyAlignment="1">
      <alignment horizontal="right"/>
    </xf>
    <xf numFmtId="0" fontId="18" fillId="0" borderId="12" xfId="0" applyFont="1" applyBorder="1"/>
    <xf numFmtId="0" fontId="19" fillId="0" borderId="7" xfId="0" applyFont="1" applyBorder="1" applyAlignment="1">
      <alignment horizontal="right"/>
    </xf>
    <xf numFmtId="4" fontId="19" fillId="0" borderId="13" xfId="0" applyNumberFormat="1" applyFont="1" applyBorder="1" applyAlignment="1">
      <alignment horizontal="right"/>
    </xf>
    <xf numFmtId="0" fontId="19" fillId="0" borderId="13" xfId="0" applyFont="1" applyBorder="1" applyAlignment="1">
      <alignment horizontal="right"/>
    </xf>
    <xf numFmtId="0" fontId="19" fillId="0" borderId="14" xfId="0" applyFont="1" applyBorder="1" applyAlignment="1">
      <alignment horizontal="left" indent="2"/>
    </xf>
    <xf numFmtId="0" fontId="19" fillId="0" borderId="3" xfId="0" applyFont="1" applyBorder="1" applyAlignment="1">
      <alignment horizontal="right"/>
    </xf>
    <xf numFmtId="165" fontId="19" fillId="0" borderId="15" xfId="1" applyNumberFormat="1" applyFont="1" applyBorder="1" applyAlignment="1">
      <alignment horizontal="right"/>
    </xf>
    <xf numFmtId="0" fontId="18" fillId="0" borderId="18" xfId="0" applyFont="1" applyBorder="1" applyAlignment="1">
      <alignment horizontal="center" vertical="center" wrapText="1"/>
    </xf>
    <xf numFmtId="167" fontId="0" fillId="0" borderId="6" xfId="0" applyNumberFormat="1" applyBorder="1"/>
    <xf numFmtId="0" fontId="11" fillId="0" borderId="0" xfId="11" applyFont="1" applyAlignment="1">
      <alignment wrapText="1"/>
    </xf>
    <xf numFmtId="0" fontId="0" fillId="9" borderId="0" xfId="0" applyFill="1" applyAlignment="1">
      <alignment horizontal="left" wrapText="1"/>
    </xf>
    <xf numFmtId="0" fontId="11" fillId="0" borderId="0" xfId="11" applyFont="1"/>
    <xf numFmtId="0" fontId="9" fillId="0" borderId="0" xfId="0" applyFont="1"/>
    <xf numFmtId="0" fontId="9" fillId="0" borderId="0" xfId="0" applyFont="1" applyAlignment="1">
      <alignment vertical="top" wrapText="1"/>
    </xf>
    <xf numFmtId="0" fontId="21" fillId="9" borderId="0" xfId="0" applyFont="1" applyFill="1" applyAlignment="1">
      <alignment horizontal="left" wrapText="1"/>
    </xf>
    <xf numFmtId="1" fontId="23" fillId="0" borderId="0" xfId="12" applyNumberFormat="1"/>
    <xf numFmtId="2" fontId="23" fillId="0" borderId="0" xfId="12" applyNumberFormat="1"/>
    <xf numFmtId="0" fontId="24" fillId="0" borderId="0" xfId="0" applyFont="1"/>
    <xf numFmtId="0" fontId="25" fillId="0" borderId="0" xfId="0" applyFont="1" applyAlignment="1">
      <alignment vertical="center" wrapText="1"/>
    </xf>
    <xf numFmtId="0" fontId="25" fillId="9" borderId="0" xfId="0" applyFont="1" applyFill="1" applyAlignment="1">
      <alignment vertical="center"/>
    </xf>
    <xf numFmtId="0" fontId="0" fillId="0" borderId="0" xfId="0" applyAlignment="1">
      <alignment horizontal="left" vertical="top" wrapText="1"/>
    </xf>
    <xf numFmtId="1" fontId="0" fillId="9" borderId="0" xfId="0" applyNumberFormat="1" applyFill="1"/>
    <xf numFmtId="0" fontId="1" fillId="9" borderId="0" xfId="0" applyFont="1" applyFill="1"/>
    <xf numFmtId="1" fontId="1" fillId="9" borderId="0" xfId="0" applyNumberFormat="1" applyFont="1" applyFill="1"/>
    <xf numFmtId="49" fontId="0" fillId="6" borderId="0" xfId="0" applyNumberFormat="1" applyFill="1"/>
    <xf numFmtId="0" fontId="0" fillId="10" borderId="0" xfId="0" applyFill="1"/>
    <xf numFmtId="49" fontId="0" fillId="2" borderId="0" xfId="0" applyNumberFormat="1" applyFill="1"/>
    <xf numFmtId="0" fontId="9" fillId="8" borderId="28" xfId="8" applyFont="1" applyFill="1" applyBorder="1"/>
    <xf numFmtId="0" fontId="9" fillId="7" borderId="28" xfId="8" applyFont="1" applyFill="1" applyBorder="1"/>
    <xf numFmtId="0" fontId="0" fillId="6" borderId="0" xfId="0" applyFill="1" applyAlignment="1">
      <alignment horizontal="right"/>
    </xf>
    <xf numFmtId="0" fontId="9" fillId="9" borderId="0" xfId="0" applyFont="1" applyFill="1" applyAlignment="1">
      <alignment horizontal="left" vertical="top" wrapText="1"/>
    </xf>
    <xf numFmtId="0" fontId="0" fillId="9" borderId="6" xfId="0" applyFill="1" applyBorder="1"/>
    <xf numFmtId="0" fontId="0" fillId="9" borderId="18" xfId="0" applyFill="1" applyBorder="1"/>
    <xf numFmtId="0" fontId="9" fillId="0" borderId="0" xfId="11" applyFont="1" applyAlignment="1">
      <alignment wrapText="1"/>
    </xf>
    <xf numFmtId="0" fontId="1" fillId="9" borderId="6" xfId="0" applyFont="1" applyFill="1" applyBorder="1"/>
    <xf numFmtId="0" fontId="1" fillId="9" borderId="6" xfId="0" applyFont="1" applyFill="1" applyBorder="1" applyAlignment="1">
      <alignment vertical="top"/>
    </xf>
    <xf numFmtId="0" fontId="26" fillId="0" borderId="0" xfId="0" applyFont="1"/>
    <xf numFmtId="0" fontId="0" fillId="6" borderId="2" xfId="0" applyFill="1" applyBorder="1"/>
    <xf numFmtId="0" fontId="21" fillId="0" borderId="0" xfId="0" applyFont="1" applyAlignment="1">
      <alignment horizontal="left" wrapText="1"/>
    </xf>
    <xf numFmtId="10" fontId="19" fillId="0" borderId="0" xfId="10" applyNumberFormat="1" applyFont="1" applyBorder="1" applyAlignment="1">
      <alignment horizontal="center" vertical="center"/>
    </xf>
    <xf numFmtId="0" fontId="0" fillId="0" borderId="3" xfId="0" applyBorder="1"/>
    <xf numFmtId="0" fontId="1" fillId="9" borderId="28" xfId="0" applyFont="1" applyFill="1" applyBorder="1" applyAlignment="1">
      <alignment horizontal="left" vertical="top"/>
    </xf>
    <xf numFmtId="0" fontId="1" fillId="9" borderId="29" xfId="0" applyFont="1" applyFill="1" applyBorder="1" applyAlignment="1">
      <alignment horizontal="left" vertical="top"/>
    </xf>
    <xf numFmtId="0" fontId="1" fillId="9" borderId="30" xfId="0" applyFont="1" applyFill="1" applyBorder="1" applyAlignment="1">
      <alignment horizontal="left" vertical="top"/>
    </xf>
    <xf numFmtId="0" fontId="0" fillId="9" borderId="6" xfId="0" applyFill="1" applyBorder="1" applyAlignment="1">
      <alignment horizontal="left" wrapText="1"/>
    </xf>
    <xf numFmtId="0" fontId="0" fillId="9" borderId="6" xfId="0" applyFill="1" applyBorder="1"/>
    <xf numFmtId="0" fontId="0" fillId="9" borderId="6" xfId="0" applyFill="1" applyBorder="1" applyAlignment="1">
      <alignment horizontal="left"/>
    </xf>
    <xf numFmtId="14" fontId="0" fillId="9" borderId="6" xfId="0" applyNumberFormat="1" applyFill="1" applyBorder="1" applyAlignment="1">
      <alignment horizontal="left"/>
    </xf>
    <xf numFmtId="0" fontId="9" fillId="0" borderId="0" xfId="11" applyFont="1" applyFill="1" applyAlignment="1">
      <alignment vertical="top" wrapText="1"/>
    </xf>
    <xf numFmtId="0" fontId="24" fillId="0" borderId="0" xfId="0" applyFont="1" applyAlignment="1">
      <alignment horizontal="left" vertical="top" wrapText="1"/>
    </xf>
    <xf numFmtId="0" fontId="19" fillId="0" borderId="0" xfId="0" applyFont="1" applyAlignment="1">
      <alignment horizontal="left" vertical="top" wrapText="1"/>
    </xf>
    <xf numFmtId="0" fontId="18" fillId="0" borderId="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2"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Alignment="1">
      <alignment horizontal="left" vertical="top" wrapText="1"/>
    </xf>
    <xf numFmtId="0" fontId="19" fillId="0" borderId="0" xfId="0" applyFont="1" applyAlignment="1">
      <alignment horizontal="left" wrapText="1"/>
    </xf>
    <xf numFmtId="1" fontId="18" fillId="0" borderId="13" xfId="0" applyNumberFormat="1" applyFont="1" applyBorder="1" applyAlignment="1">
      <alignment horizontal="left" vertical="top" wrapText="1"/>
    </xf>
    <xf numFmtId="1" fontId="18" fillId="0" borderId="15" xfId="0" applyNumberFormat="1" applyFont="1" applyBorder="1" applyAlignment="1">
      <alignment horizontal="left" vertical="top" wrapText="1"/>
    </xf>
    <xf numFmtId="1" fontId="18" fillId="0" borderId="17" xfId="0" applyNumberFormat="1" applyFont="1" applyBorder="1" applyAlignment="1">
      <alignment horizontal="left" vertical="top" wrapText="1"/>
    </xf>
    <xf numFmtId="0" fontId="19" fillId="4" borderId="8" xfId="0" applyFont="1" applyFill="1" applyBorder="1" applyAlignment="1">
      <alignment horizontal="left" vertical="center"/>
    </xf>
    <xf numFmtId="0" fontId="19" fillId="4" borderId="10" xfId="0" applyFont="1" applyFill="1" applyBorder="1" applyAlignment="1">
      <alignment horizontal="left" vertical="center"/>
    </xf>
    <xf numFmtId="0" fontId="19" fillId="4" borderId="9" xfId="0" applyFont="1" applyFill="1" applyBorder="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7" xfId="0" applyFont="1" applyBorder="1" applyAlignment="1">
      <alignment horizontal="left" vertical="top" wrapText="1"/>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cellXfs>
  <cellStyles count="13">
    <cellStyle name="Comma" xfId="1" builtinId="3"/>
    <cellStyle name="Comma 2" xfId="5" xr:uid="{00000000-0005-0000-0000-000001000000}"/>
    <cellStyle name="Hyperlink" xfId="11" builtinId="8"/>
    <cellStyle name="Normal" xfId="0" builtinId="0"/>
    <cellStyle name="Normal 2" xfId="2" xr:uid="{00000000-0005-0000-0000-000004000000}"/>
    <cellStyle name="Normal 2 2" xfId="7" xr:uid="{00000000-0005-0000-0000-000005000000}"/>
    <cellStyle name="Normal 3" xfId="3" xr:uid="{00000000-0005-0000-0000-000006000000}"/>
    <cellStyle name="Normal 4" xfId="4" xr:uid="{00000000-0005-0000-0000-000007000000}"/>
    <cellStyle name="Normal 5" xfId="8" xr:uid="{00000000-0005-0000-0000-000008000000}"/>
    <cellStyle name="Normal 6" xfId="9" xr:uid="{00000000-0005-0000-0000-000009000000}"/>
    <cellStyle name="Normal 7" xfId="12" xr:uid="{2CE075D8-47F1-471B-8830-08761451254F}"/>
    <cellStyle name="Percent" xfId="10" builtinId="5"/>
    <cellStyle name="Percent 2" xfId="6" xr:uid="{00000000-0005-0000-0000-00000B000000}"/>
  </cellStyles>
  <dxfs count="29">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theme="0"/>
        </patternFill>
      </fill>
    </dxf>
    <dxf>
      <fill>
        <patternFill>
          <bgColor rgb="FFFFFF00"/>
        </patternFill>
      </fill>
    </dxf>
    <dxf>
      <fill>
        <patternFill>
          <bgColor rgb="FFFFFF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2969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All NHS trusts in England</c:v>
          </c:tx>
          <c:spPr>
            <a:solidFill>
              <a:srgbClr val="29696A"/>
            </a:solidFill>
            <a:ln w="25400">
              <a:solidFill>
                <a:srgbClr val="29696A"/>
              </a:solidFill>
            </a:ln>
            <a:effectLst/>
          </c:spPr>
          <c:cat>
            <c:numRef>
              <c:f>trust_data_quality!$O$2:$O$121</c:f>
              <c:numCache>
                <c:formatCode>0.00</c:formatCode>
                <c:ptCount val="120"/>
                <c:pt idx="0">
                  <c:v>119</c:v>
                </c:pt>
                <c:pt idx="1">
                  <c:v>32</c:v>
                </c:pt>
                <c:pt idx="2">
                  <c:v>35</c:v>
                </c:pt>
                <c:pt idx="3">
                  <c:v>1</c:v>
                </c:pt>
                <c:pt idx="4">
                  <c:v>115</c:v>
                </c:pt>
                <c:pt idx="5">
                  <c:v>79</c:v>
                </c:pt>
                <c:pt idx="6">
                  <c:v>91</c:v>
                </c:pt>
                <c:pt idx="7">
                  <c:v>109</c:v>
                </c:pt>
                <c:pt idx="8">
                  <c:v>44</c:v>
                </c:pt>
                <c:pt idx="9">
                  <c:v>41</c:v>
                </c:pt>
                <c:pt idx="10">
                  <c:v>106</c:v>
                </c:pt>
                <c:pt idx="11">
                  <c:v>92</c:v>
                </c:pt>
                <c:pt idx="12">
                  <c:v>99</c:v>
                </c:pt>
                <c:pt idx="13">
                  <c:v>70</c:v>
                </c:pt>
                <c:pt idx="14">
                  <c:v>81</c:v>
                </c:pt>
                <c:pt idx="15">
                  <c:v>50</c:v>
                </c:pt>
                <c:pt idx="16">
                  <c:v>78</c:v>
                </c:pt>
                <c:pt idx="17">
                  <c:v>1</c:v>
                </c:pt>
                <c:pt idx="18">
                  <c:v>93</c:v>
                </c:pt>
                <c:pt idx="19">
                  <c:v>60</c:v>
                </c:pt>
                <c:pt idx="20">
                  <c:v>95</c:v>
                </c:pt>
                <c:pt idx="21">
                  <c:v>40</c:v>
                </c:pt>
                <c:pt idx="22">
                  <c:v>54</c:v>
                </c:pt>
                <c:pt idx="23">
                  <c:v>1</c:v>
                </c:pt>
                <c:pt idx="24">
                  <c:v>62</c:v>
                </c:pt>
                <c:pt idx="25">
                  <c:v>66</c:v>
                </c:pt>
                <c:pt idx="26">
                  <c:v>31</c:v>
                </c:pt>
                <c:pt idx="27">
                  <c:v>42</c:v>
                </c:pt>
                <c:pt idx="28">
                  <c:v>29</c:v>
                </c:pt>
                <c:pt idx="29">
                  <c:v>1</c:v>
                </c:pt>
                <c:pt idx="30">
                  <c:v>104</c:v>
                </c:pt>
                <c:pt idx="31">
                  <c:v>74</c:v>
                </c:pt>
                <c:pt idx="32">
                  <c:v>49</c:v>
                </c:pt>
                <c:pt idx="33">
                  <c:v>76</c:v>
                </c:pt>
                <c:pt idx="34">
                  <c:v>1</c:v>
                </c:pt>
                <c:pt idx="35">
                  <c:v>85</c:v>
                </c:pt>
                <c:pt idx="36">
                  <c:v>61</c:v>
                </c:pt>
                <c:pt idx="37">
                  <c:v>1</c:v>
                </c:pt>
                <c:pt idx="38">
                  <c:v>105</c:v>
                </c:pt>
                <c:pt idx="39">
                  <c:v>45</c:v>
                </c:pt>
                <c:pt idx="40">
                  <c:v>86</c:v>
                </c:pt>
                <c:pt idx="41">
                  <c:v>19</c:v>
                </c:pt>
                <c:pt idx="42">
                  <c:v>63</c:v>
                </c:pt>
                <c:pt idx="43">
                  <c:v>97</c:v>
                </c:pt>
                <c:pt idx="44">
                  <c:v>53</c:v>
                </c:pt>
                <c:pt idx="45">
                  <c:v>118</c:v>
                </c:pt>
                <c:pt idx="46">
                  <c:v>95</c:v>
                </c:pt>
                <c:pt idx="47">
                  <c:v>48</c:v>
                </c:pt>
                <c:pt idx="48">
                  <c:v>1</c:v>
                </c:pt>
                <c:pt idx="49">
                  <c:v>1</c:v>
                </c:pt>
                <c:pt idx="50">
                  <c:v>28</c:v>
                </c:pt>
                <c:pt idx="51">
                  <c:v>39</c:v>
                </c:pt>
                <c:pt idx="52">
                  <c:v>33</c:v>
                </c:pt>
                <c:pt idx="53">
                  <c:v>1</c:v>
                </c:pt>
                <c:pt idx="54">
                  <c:v>116</c:v>
                </c:pt>
                <c:pt idx="55">
                  <c:v>81</c:v>
                </c:pt>
                <c:pt idx="56">
                  <c:v>73</c:v>
                </c:pt>
                <c:pt idx="57">
                  <c:v>107</c:v>
                </c:pt>
                <c:pt idx="58">
                  <c:v>108</c:v>
                </c:pt>
                <c:pt idx="59">
                  <c:v>56</c:v>
                </c:pt>
                <c:pt idx="60">
                  <c:v>64</c:v>
                </c:pt>
                <c:pt idx="61">
                  <c:v>1</c:v>
                </c:pt>
                <c:pt idx="62">
                  <c:v>79</c:v>
                </c:pt>
                <c:pt idx="63">
                  <c:v>98</c:v>
                </c:pt>
                <c:pt idx="64">
                  <c:v>27</c:v>
                </c:pt>
                <c:pt idx="65">
                  <c:v>30</c:v>
                </c:pt>
                <c:pt idx="66">
                  <c:v>22</c:v>
                </c:pt>
                <c:pt idx="67">
                  <c:v>23</c:v>
                </c:pt>
                <c:pt idx="68">
                  <c:v>87</c:v>
                </c:pt>
                <c:pt idx="69">
                  <c:v>20</c:v>
                </c:pt>
                <c:pt idx="70">
                  <c:v>55</c:v>
                </c:pt>
                <c:pt idx="71">
                  <c:v>90</c:v>
                </c:pt>
                <c:pt idx="72">
                  <c:v>67</c:v>
                </c:pt>
                <c:pt idx="73">
                  <c:v>59</c:v>
                </c:pt>
                <c:pt idx="74">
                  <c:v>83</c:v>
                </c:pt>
                <c:pt idx="75">
                  <c:v>113</c:v>
                </c:pt>
                <c:pt idx="76">
                  <c:v>114</c:v>
                </c:pt>
                <c:pt idx="77">
                  <c:v>1</c:v>
                </c:pt>
                <c:pt idx="78">
                  <c:v>36</c:v>
                </c:pt>
                <c:pt idx="79">
                  <c:v>102</c:v>
                </c:pt>
                <c:pt idx="80">
                  <c:v>56</c:v>
                </c:pt>
                <c:pt idx="81">
                  <c:v>47</c:v>
                </c:pt>
                <c:pt idx="82">
                  <c:v>26</c:v>
                </c:pt>
                <c:pt idx="83">
                  <c:v>88</c:v>
                </c:pt>
                <c:pt idx="84">
                  <c:v>120</c:v>
                </c:pt>
                <c:pt idx="85">
                  <c:v>16</c:v>
                </c:pt>
                <c:pt idx="86">
                  <c:v>56</c:v>
                </c:pt>
                <c:pt idx="87">
                  <c:v>21</c:v>
                </c:pt>
                <c:pt idx="88">
                  <c:v>51</c:v>
                </c:pt>
                <c:pt idx="89">
                  <c:v>65</c:v>
                </c:pt>
                <c:pt idx="90">
                  <c:v>101</c:v>
                </c:pt>
                <c:pt idx="91">
                  <c:v>1</c:v>
                </c:pt>
                <c:pt idx="92">
                  <c:v>72</c:v>
                </c:pt>
                <c:pt idx="93">
                  <c:v>1</c:v>
                </c:pt>
                <c:pt idx="94">
                  <c:v>110</c:v>
                </c:pt>
                <c:pt idx="95">
                  <c:v>77</c:v>
                </c:pt>
                <c:pt idx="96">
                  <c:v>71</c:v>
                </c:pt>
                <c:pt idx="97">
                  <c:v>25</c:v>
                </c:pt>
                <c:pt idx="98">
                  <c:v>68</c:v>
                </c:pt>
                <c:pt idx="99">
                  <c:v>15</c:v>
                </c:pt>
                <c:pt idx="100">
                  <c:v>46</c:v>
                </c:pt>
                <c:pt idx="101">
                  <c:v>117</c:v>
                </c:pt>
                <c:pt idx="102">
                  <c:v>1</c:v>
                </c:pt>
                <c:pt idx="103">
                  <c:v>111</c:v>
                </c:pt>
                <c:pt idx="104">
                  <c:v>43</c:v>
                </c:pt>
                <c:pt idx="105">
                  <c:v>36</c:v>
                </c:pt>
                <c:pt idx="106">
                  <c:v>94</c:v>
                </c:pt>
                <c:pt idx="107">
                  <c:v>84</c:v>
                </c:pt>
                <c:pt idx="108">
                  <c:v>103</c:v>
                </c:pt>
                <c:pt idx="109">
                  <c:v>112</c:v>
                </c:pt>
                <c:pt idx="110">
                  <c:v>69</c:v>
                </c:pt>
                <c:pt idx="111">
                  <c:v>34</c:v>
                </c:pt>
                <c:pt idx="112">
                  <c:v>75</c:v>
                </c:pt>
                <c:pt idx="113">
                  <c:v>52</c:v>
                </c:pt>
                <c:pt idx="114">
                  <c:v>17</c:v>
                </c:pt>
                <c:pt idx="115">
                  <c:v>89</c:v>
                </c:pt>
                <c:pt idx="116">
                  <c:v>24</c:v>
                </c:pt>
                <c:pt idx="117">
                  <c:v>17</c:v>
                </c:pt>
                <c:pt idx="118">
                  <c:v>100</c:v>
                </c:pt>
                <c:pt idx="119">
                  <c:v>38</c:v>
                </c:pt>
              </c:numCache>
            </c:numRef>
          </c:cat>
          <c:val>
            <c:numRef>
              <c:f>trust_data_quality!$N$2:$N$121</c:f>
              <c:numCache>
                <c:formatCode>0.00</c:formatCode>
                <c:ptCount val="120"/>
                <c:pt idx="0">
                  <c:v>0.30588236451148992</c:v>
                </c:pt>
                <c:pt idx="1">
                  <c:v>0.98260867595672607</c:v>
                </c:pt>
                <c:pt idx="2">
                  <c:v>0.98076921701431274</c:v>
                </c:pt>
                <c:pt idx="3">
                  <c:v>1</c:v>
                </c:pt>
                <c:pt idx="4">
                  <c:v>0.68333333730697632</c:v>
                </c:pt>
                <c:pt idx="5">
                  <c:v>0.92000001668930054</c:v>
                </c:pt>
                <c:pt idx="6">
                  <c:v>0.8928571343421936</c:v>
                </c:pt>
                <c:pt idx="7">
                  <c:v>0.80357140302658081</c:v>
                </c:pt>
                <c:pt idx="8">
                  <c:v>0.97222220897674561</c:v>
                </c:pt>
                <c:pt idx="9">
                  <c:v>0.97590363025665283</c:v>
                </c:pt>
                <c:pt idx="10">
                  <c:v>0.8291814923286438</c:v>
                </c:pt>
                <c:pt idx="11">
                  <c:v>0.88976377248764038</c:v>
                </c:pt>
                <c:pt idx="12">
                  <c:v>0.8611111044883728</c:v>
                </c:pt>
                <c:pt idx="13">
                  <c:v>0.93548387289047241</c:v>
                </c:pt>
                <c:pt idx="14">
                  <c:v>0.91666668653488159</c:v>
                </c:pt>
                <c:pt idx="15">
                  <c:v>0.96428573131561279</c:v>
                </c:pt>
                <c:pt idx="16">
                  <c:v>0.92307692766189575</c:v>
                </c:pt>
                <c:pt idx="17">
                  <c:v>1</c:v>
                </c:pt>
                <c:pt idx="18">
                  <c:v>0.88414633274078369</c:v>
                </c:pt>
                <c:pt idx="19">
                  <c:v>0.95714282989501953</c:v>
                </c:pt>
                <c:pt idx="20">
                  <c:v>0.87999999523162842</c:v>
                </c:pt>
                <c:pt idx="21">
                  <c:v>0.97619044780731201</c:v>
                </c:pt>
                <c:pt idx="22">
                  <c:v>0.96078431606292725</c:v>
                </c:pt>
                <c:pt idx="23">
                  <c:v>1</c:v>
                </c:pt>
                <c:pt idx="24">
                  <c:v>0.95522385835647583</c:v>
                </c:pt>
                <c:pt idx="25">
                  <c:v>0.94999998807907104</c:v>
                </c:pt>
                <c:pt idx="26">
                  <c:v>0.98360657691955566</c:v>
                </c:pt>
                <c:pt idx="27">
                  <c:v>0.97468352317810059</c:v>
                </c:pt>
                <c:pt idx="28">
                  <c:v>0.98529410362243652</c:v>
                </c:pt>
                <c:pt idx="29">
                  <c:v>1</c:v>
                </c:pt>
                <c:pt idx="30">
                  <c:v>0.84662574529647827</c:v>
                </c:pt>
                <c:pt idx="31">
                  <c:v>0.93203884363174438</c:v>
                </c:pt>
                <c:pt idx="32">
                  <c:v>0.9649122953414917</c:v>
                </c:pt>
                <c:pt idx="33">
                  <c:v>0.9272727370262146</c:v>
                </c:pt>
                <c:pt idx="34">
                  <c:v>1</c:v>
                </c:pt>
                <c:pt idx="35">
                  <c:v>0.90740740299224854</c:v>
                </c:pt>
                <c:pt idx="36">
                  <c:v>0.95652174949645996</c:v>
                </c:pt>
                <c:pt idx="37">
                  <c:v>1</c:v>
                </c:pt>
                <c:pt idx="38">
                  <c:v>0.83516484498977661</c:v>
                </c:pt>
                <c:pt idx="39">
                  <c:v>0.97163122892379761</c:v>
                </c:pt>
                <c:pt idx="40">
                  <c:v>0.90506327152252197</c:v>
                </c:pt>
                <c:pt idx="41">
                  <c:v>0.99152541160583496</c:v>
                </c:pt>
                <c:pt idx="42">
                  <c:v>0.95488721132278442</c:v>
                </c:pt>
                <c:pt idx="43">
                  <c:v>0.87804877758026123</c:v>
                </c:pt>
                <c:pt idx="44">
                  <c:v>0.96153843402862549</c:v>
                </c:pt>
                <c:pt idx="45">
                  <c:v>0.33653846383094788</c:v>
                </c:pt>
                <c:pt idx="46">
                  <c:v>0.87999999523162842</c:v>
                </c:pt>
                <c:pt idx="47">
                  <c:v>0.96666663885116577</c:v>
                </c:pt>
                <c:pt idx="48">
                  <c:v>1</c:v>
                </c:pt>
                <c:pt idx="49">
                  <c:v>1</c:v>
                </c:pt>
                <c:pt idx="50">
                  <c:v>0.985981285572052</c:v>
                </c:pt>
                <c:pt idx="51">
                  <c:v>0.97674417495727539</c:v>
                </c:pt>
                <c:pt idx="52">
                  <c:v>0.98148149251937866</c:v>
                </c:pt>
                <c:pt idx="53">
                  <c:v>1</c:v>
                </c:pt>
                <c:pt idx="54">
                  <c:v>0.66129034757614136</c:v>
                </c:pt>
                <c:pt idx="55">
                  <c:v>0.91666668653488159</c:v>
                </c:pt>
                <c:pt idx="56">
                  <c:v>0.93269228935241699</c:v>
                </c:pt>
                <c:pt idx="57">
                  <c:v>0.81818181276321411</c:v>
                </c:pt>
                <c:pt idx="58">
                  <c:v>0.81481480598449707</c:v>
                </c:pt>
                <c:pt idx="59">
                  <c:v>0.95833331346511841</c:v>
                </c:pt>
                <c:pt idx="60">
                  <c:v>0.95454543828964233</c:v>
                </c:pt>
                <c:pt idx="61">
                  <c:v>1</c:v>
                </c:pt>
                <c:pt idx="62">
                  <c:v>0.92000001668930054</c:v>
                </c:pt>
                <c:pt idx="63">
                  <c:v>0.875</c:v>
                </c:pt>
                <c:pt idx="64">
                  <c:v>0.9871794581413269</c:v>
                </c:pt>
                <c:pt idx="65">
                  <c:v>0.984375</c:v>
                </c:pt>
                <c:pt idx="66">
                  <c:v>0.98969072103500366</c:v>
                </c:pt>
                <c:pt idx="67">
                  <c:v>0.98936170339584351</c:v>
                </c:pt>
                <c:pt idx="68">
                  <c:v>0.9038461446762085</c:v>
                </c:pt>
                <c:pt idx="69">
                  <c:v>0.99099099636077881</c:v>
                </c:pt>
                <c:pt idx="70">
                  <c:v>0.95959597826004028</c:v>
                </c:pt>
                <c:pt idx="71">
                  <c:v>0.89473682641983032</c:v>
                </c:pt>
                <c:pt idx="72">
                  <c:v>0.94444441795349121</c:v>
                </c:pt>
                <c:pt idx="73">
                  <c:v>0.95744681358337402</c:v>
                </c:pt>
                <c:pt idx="74">
                  <c:v>0.91509431600570679</c:v>
                </c:pt>
                <c:pt idx="75">
                  <c:v>0.73863637447357178</c:v>
                </c:pt>
                <c:pt idx="76">
                  <c:v>0.6875</c:v>
                </c:pt>
                <c:pt idx="77">
                  <c:v>1</c:v>
                </c:pt>
                <c:pt idx="78">
                  <c:v>0.97916668653488159</c:v>
                </c:pt>
                <c:pt idx="79">
                  <c:v>0.85185188055038452</c:v>
                </c:pt>
                <c:pt idx="80">
                  <c:v>0.95833331346511841</c:v>
                </c:pt>
                <c:pt idx="81">
                  <c:v>0.9675324559211731</c:v>
                </c:pt>
                <c:pt idx="82">
                  <c:v>0.98809522390365601</c:v>
                </c:pt>
                <c:pt idx="83">
                  <c:v>0.9003831148147583</c:v>
                </c:pt>
                <c:pt idx="84">
                  <c:v>0.1875</c:v>
                </c:pt>
                <c:pt idx="85">
                  <c:v>0.99310344457626343</c:v>
                </c:pt>
                <c:pt idx="86">
                  <c:v>0.95833331346511841</c:v>
                </c:pt>
                <c:pt idx="87">
                  <c:v>0.99074071645736694</c:v>
                </c:pt>
                <c:pt idx="88">
                  <c:v>0.96256685256958008</c:v>
                </c:pt>
                <c:pt idx="89">
                  <c:v>0.95151513814926147</c:v>
                </c:pt>
                <c:pt idx="90">
                  <c:v>0.85555553436279297</c:v>
                </c:pt>
                <c:pt idx="91">
                  <c:v>1</c:v>
                </c:pt>
                <c:pt idx="92">
                  <c:v>0.93277311325073242</c:v>
                </c:pt>
                <c:pt idx="93">
                  <c:v>1</c:v>
                </c:pt>
                <c:pt idx="94">
                  <c:v>0.796875</c:v>
                </c:pt>
                <c:pt idx="95">
                  <c:v>0.92592591047286987</c:v>
                </c:pt>
                <c:pt idx="96">
                  <c:v>0.93292683362960815</c:v>
                </c:pt>
                <c:pt idx="97">
                  <c:v>0.98850572109222412</c:v>
                </c:pt>
                <c:pt idx="98">
                  <c:v>0.94117647409439087</c:v>
                </c:pt>
                <c:pt idx="99">
                  <c:v>0.99382716417312622</c:v>
                </c:pt>
                <c:pt idx="100">
                  <c:v>0.9686274528503418</c:v>
                </c:pt>
                <c:pt idx="101">
                  <c:v>0.60000002384185791</c:v>
                </c:pt>
                <c:pt idx="102">
                  <c:v>1</c:v>
                </c:pt>
                <c:pt idx="103">
                  <c:v>0.75714284181594849</c:v>
                </c:pt>
                <c:pt idx="104">
                  <c:v>0.97297298908233643</c:v>
                </c:pt>
                <c:pt idx="105">
                  <c:v>0.97916668653488159</c:v>
                </c:pt>
                <c:pt idx="106">
                  <c:v>0.88157892227172852</c:v>
                </c:pt>
                <c:pt idx="107">
                  <c:v>0.91358023881912231</c:v>
                </c:pt>
                <c:pt idx="108">
                  <c:v>0.84761905670166016</c:v>
                </c:pt>
                <c:pt idx="109">
                  <c:v>0.74561405181884766</c:v>
                </c:pt>
                <c:pt idx="110">
                  <c:v>0.94078946113586426</c:v>
                </c:pt>
                <c:pt idx="111">
                  <c:v>0.98113209009170532</c:v>
                </c:pt>
                <c:pt idx="112">
                  <c:v>0.92857140302658081</c:v>
                </c:pt>
                <c:pt idx="113">
                  <c:v>0.96226418018341064</c:v>
                </c:pt>
                <c:pt idx="114">
                  <c:v>0.99186992645263672</c:v>
                </c:pt>
                <c:pt idx="115">
                  <c:v>0.89610391855239868</c:v>
                </c:pt>
                <c:pt idx="116">
                  <c:v>0.98924732208251953</c:v>
                </c:pt>
                <c:pt idx="117">
                  <c:v>0.99186992645263672</c:v>
                </c:pt>
                <c:pt idx="118">
                  <c:v>0.8571428656578064</c:v>
                </c:pt>
                <c:pt idx="119">
                  <c:v>0.97706419229507446</c:v>
                </c:pt>
              </c:numCache>
            </c:numRef>
          </c:val>
          <c:extLst>
            <c:ext xmlns:c16="http://schemas.microsoft.com/office/drawing/2014/chart" uri="{C3380CC4-5D6E-409C-BE32-E72D297353CC}">
              <c16:uniqueId val="{00000000-4A59-4B9C-B679-6F4EB6A6ED53}"/>
            </c:ext>
          </c:extLst>
        </c:ser>
        <c:dLbls>
          <c:showLegendKey val="0"/>
          <c:showVal val="0"/>
          <c:showCatName val="0"/>
          <c:showSerName val="0"/>
          <c:showPercent val="0"/>
          <c:showBubbleSize val="0"/>
        </c:dLbls>
        <c:axId val="1687825856"/>
        <c:axId val="1717320176"/>
      </c:areaChart>
      <c:scatterChart>
        <c:scatterStyle val="lineMarker"/>
        <c:varyColors val="0"/>
        <c:ser>
          <c:idx val="2"/>
          <c:order val="1"/>
          <c:tx>
            <c:strRef>
              <c:f>'Data quality dashboard'!$D$9</c:f>
              <c:strCache>
                <c:ptCount val="1"/>
                <c:pt idx="0">
                  <c:v>Airedale NHS Foundation Trust</c:v>
                </c:pt>
              </c:strCache>
            </c:strRef>
          </c:tx>
          <c:spPr>
            <a:ln w="28575" cap="rnd">
              <a:solidFill>
                <a:schemeClr val="accent2"/>
              </a:solidFill>
              <a:round/>
            </a:ln>
            <a:effectLst/>
          </c:spPr>
          <c:marker>
            <c:symbol val="none"/>
          </c:marker>
          <c:xVal>
            <c:numRef>
              <c:f>Links!$C$26:$C$27</c:f>
              <c:numCache>
                <c:formatCode>0</c:formatCode>
                <c:ptCount val="2"/>
                <c:pt idx="0">
                  <c:v>1</c:v>
                </c:pt>
                <c:pt idx="1">
                  <c:v>1</c:v>
                </c:pt>
              </c:numCache>
            </c:numRef>
          </c:xVal>
          <c:yVal>
            <c:numRef>
              <c:f>Links!$D$26:$D$27</c:f>
              <c:numCache>
                <c:formatCode>General</c:formatCode>
                <c:ptCount val="2"/>
                <c:pt idx="0" formatCode="0.00">
                  <c:v>1</c:v>
                </c:pt>
                <c:pt idx="1">
                  <c:v>0</c:v>
                </c:pt>
              </c:numCache>
            </c:numRef>
          </c:yVal>
          <c:smooth val="0"/>
          <c:extLst>
            <c:ext xmlns:c16="http://schemas.microsoft.com/office/drawing/2014/chart" uri="{C3380CC4-5D6E-409C-BE32-E72D297353CC}">
              <c16:uniqueId val="{00000001-4A59-4B9C-B679-6F4EB6A6ED53}"/>
            </c:ext>
          </c:extLst>
        </c:ser>
        <c:ser>
          <c:idx val="1"/>
          <c:order val="2"/>
          <c:tx>
            <c:v>Target</c:v>
          </c:tx>
          <c:spPr>
            <a:ln w="28575" cap="rnd">
              <a:solidFill>
                <a:schemeClr val="tx1"/>
              </a:solidFill>
              <a:prstDash val="sysDash"/>
              <a:round/>
            </a:ln>
            <a:effectLst/>
          </c:spPr>
          <c:marker>
            <c:symbol val="none"/>
          </c:marker>
          <c:xVal>
            <c:numRef>
              <c:f>Links!$E$26:$E$27</c:f>
              <c:numCache>
                <c:formatCode>General</c:formatCode>
                <c:ptCount val="2"/>
                <c:pt idx="0">
                  <c:v>0</c:v>
                </c:pt>
                <c:pt idx="1">
                  <c:v>120</c:v>
                </c:pt>
              </c:numCache>
            </c:numRef>
          </c:xVal>
          <c:yVal>
            <c:numRef>
              <c:f>Links!$F$26:$F$27</c:f>
              <c:numCache>
                <c:formatCode>General</c:formatCode>
                <c:ptCount val="2"/>
                <c:pt idx="0">
                  <c:v>0.9</c:v>
                </c:pt>
                <c:pt idx="1">
                  <c:v>0.9</c:v>
                </c:pt>
              </c:numCache>
            </c:numRef>
          </c:yVal>
          <c:smooth val="0"/>
          <c:extLst>
            <c:ext xmlns:c16="http://schemas.microsoft.com/office/drawing/2014/chart" uri="{C3380CC4-5D6E-409C-BE32-E72D297353CC}">
              <c16:uniqueId val="{00000003-6FA1-4DEC-B891-E8125933D1C8}"/>
            </c:ext>
          </c:extLst>
        </c:ser>
        <c:dLbls>
          <c:showLegendKey val="0"/>
          <c:showVal val="0"/>
          <c:showCatName val="0"/>
          <c:showSerName val="0"/>
          <c:showPercent val="0"/>
          <c:showBubbleSize val="0"/>
        </c:dLbls>
        <c:axId val="1687825856"/>
        <c:axId val="1717320176"/>
      </c:scatterChart>
      <c:dateAx>
        <c:axId val="1687825856"/>
        <c:scaling>
          <c:orientation val="minMax"/>
        </c:scaling>
        <c:delete val="1"/>
        <c:axPos val="b"/>
        <c:title>
          <c:tx>
            <c:rich>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GB">
                    <a:solidFill>
                      <a:sysClr val="windowText" lastClr="000000"/>
                    </a:solidFill>
                  </a:rPr>
                  <a:t>NHS trust rank order</a:t>
                </a:r>
              </a:p>
            </c:rich>
          </c:tx>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crossAx val="1717320176"/>
        <c:crosses val="autoZero"/>
        <c:auto val="0"/>
        <c:lblOffset val="100"/>
        <c:baseTimeUnit val="days"/>
        <c:majorUnit val="10"/>
        <c:majorTimeUnit val="days"/>
      </c:dateAx>
      <c:valAx>
        <c:axId val="1717320176"/>
        <c:scaling>
          <c:orientation val="minMax"/>
          <c:max val="1"/>
        </c:scaling>
        <c:delete val="0"/>
        <c:axPos val="l"/>
        <c:majorGridlines>
          <c:spPr>
            <a:ln w="9525" cap="flat" cmpd="sng" algn="ctr">
              <a:solidFill>
                <a:schemeClr val="tx1">
                  <a:lumMod val="15000"/>
                  <a:lumOff val="85000"/>
                </a:schemeClr>
              </a:solidFill>
              <a:round/>
            </a:ln>
            <a:effectLst/>
          </c:spPr>
        </c:majorGridlines>
        <c:title>
          <c:tx>
            <c:strRef>
              <c:f>Links!$B$19</c:f>
              <c:strCache>
                <c:ptCount val="1"/>
                <c:pt idx="0">
                  <c:v>Data completeness for Basis of Diagnosis</c:v>
                </c:pt>
              </c:strCache>
            </c:strRef>
          </c:tx>
          <c:layout>
            <c:manualLayout>
              <c:xMode val="edge"/>
              <c:yMode val="edge"/>
              <c:x val="1.6863981854147867E-2"/>
              <c:y val="0.2800166191735193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687825856"/>
        <c:crossesAt val="1"/>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5220600</xdr:colOff>
      <xdr:row>5</xdr:row>
      <xdr:rowOff>49419</xdr:rowOff>
    </xdr:to>
    <xdr:grpSp>
      <xdr:nvGrpSpPr>
        <xdr:cNvPr id="17" name="Group 16">
          <a:extLst>
            <a:ext uri="{FF2B5EF4-FFF2-40B4-BE49-F238E27FC236}">
              <a16:creationId xmlns:a16="http://schemas.microsoft.com/office/drawing/2014/main" id="{A8560C22-434D-48AB-9BDA-ECD2A81D8A66}"/>
            </a:ext>
          </a:extLst>
        </xdr:cNvPr>
        <xdr:cNvGrpSpPr/>
      </xdr:nvGrpSpPr>
      <xdr:grpSpPr>
        <a:xfrm>
          <a:off x="590550" y="190500"/>
          <a:ext cx="7116075" cy="811419"/>
          <a:chOff x="1210680" y="204577"/>
          <a:chExt cx="7171320" cy="815229"/>
        </a:xfrm>
      </xdr:grpSpPr>
      <xdr:grpSp>
        <xdr:nvGrpSpPr>
          <xdr:cNvPr id="18" name="Group 17">
            <a:extLst>
              <a:ext uri="{FF2B5EF4-FFF2-40B4-BE49-F238E27FC236}">
                <a16:creationId xmlns:a16="http://schemas.microsoft.com/office/drawing/2014/main" id="{16564511-978B-2B77-A552-C59B9F75B00C}"/>
              </a:ext>
            </a:extLst>
          </xdr:cNvPr>
          <xdr:cNvGrpSpPr/>
        </xdr:nvGrpSpPr>
        <xdr:grpSpPr>
          <a:xfrm>
            <a:off x="3820520" y="204577"/>
            <a:ext cx="4561480" cy="815229"/>
            <a:chOff x="4002417" y="162979"/>
            <a:chExt cx="4681932" cy="773606"/>
          </a:xfrm>
        </xdr:grpSpPr>
        <xdr:sp macro="" textlink="">
          <xdr:nvSpPr>
            <xdr:cNvPr id="20" name="TextBox 19">
              <a:extLst>
                <a:ext uri="{FF2B5EF4-FFF2-40B4-BE49-F238E27FC236}">
                  <a16:creationId xmlns:a16="http://schemas.microsoft.com/office/drawing/2014/main" id="{C64AEC2B-AD6A-741A-F15D-8235B1114799}"/>
                </a:ext>
              </a:extLst>
            </xdr:cNvPr>
            <xdr:cNvSpPr txBox="1"/>
          </xdr:nvSpPr>
          <xdr:spPr>
            <a:xfrm>
              <a:off x="4002417" y="162979"/>
              <a:ext cx="2208464" cy="77360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a:solidFill>
                    <a:sysClr val="windowText" lastClr="000000"/>
                  </a:solidFill>
                </a:rPr>
                <a:t>OGCancerAudit@rcseng.ac.uk</a:t>
              </a:r>
            </a:p>
            <a:p>
              <a:pPr algn="l"/>
              <a:r>
                <a:rPr lang="en-GB" sz="1100">
                  <a:solidFill>
                    <a:sysClr val="windowText" lastClr="000000"/>
                  </a:solidFill>
                </a:rPr>
                <a:t>NOGCA.org.uk</a:t>
              </a:r>
            </a:p>
            <a:p>
              <a:pPr algn="l"/>
              <a:r>
                <a:rPr lang="en-GB" sz="1100" baseline="0">
                  <a:solidFill>
                    <a:sysClr val="windowText" lastClr="000000"/>
                  </a:solidFill>
                </a:rPr>
                <a:t>Twitter/X: </a:t>
              </a:r>
              <a:r>
                <a:rPr lang="en-GB">
                  <a:solidFill>
                    <a:sysClr val="windowText" lastClr="000000"/>
                  </a:solidFill>
                </a:rPr>
                <a:t>@NOGCA_NATCAN</a:t>
              </a:r>
              <a:endParaRPr lang="en-GB" sz="1100">
                <a:solidFill>
                  <a:sysClr val="windowText" lastClr="000000"/>
                </a:solidFill>
              </a:endParaRPr>
            </a:p>
          </xdr:txBody>
        </xdr:sp>
        <xdr:pic>
          <xdr:nvPicPr>
            <xdr:cNvPr id="21" name="Picture 20">
              <a:extLst>
                <a:ext uri="{FF2B5EF4-FFF2-40B4-BE49-F238E27FC236}">
                  <a16:creationId xmlns:a16="http://schemas.microsoft.com/office/drawing/2014/main" id="{54A8D1E2-50C3-3638-12C0-614356B081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5237" y="187584"/>
              <a:ext cx="2149112" cy="683239"/>
            </a:xfrm>
            <a:prstGeom prst="rect">
              <a:avLst/>
            </a:prstGeom>
          </xdr:spPr>
        </xdr:pic>
      </xdr:grpSp>
      <xdr:pic>
        <xdr:nvPicPr>
          <xdr:cNvPr id="19" name="Picture 18">
            <a:extLst>
              <a:ext uri="{FF2B5EF4-FFF2-40B4-BE49-F238E27FC236}">
                <a16:creationId xmlns:a16="http://schemas.microsoft.com/office/drawing/2014/main" id="{6E944C98-50D9-13C5-6390-9E8C61452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0680" y="230504"/>
            <a:ext cx="2374558" cy="7200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601080</xdr:colOff>
      <xdr:row>1</xdr:row>
      <xdr:rowOff>14077</xdr:rowOff>
    </xdr:from>
    <xdr:to>
      <xdr:col>2</xdr:col>
      <xdr:colOff>7162800</xdr:colOff>
      <xdr:row>5</xdr:row>
      <xdr:rowOff>67306</xdr:rowOff>
    </xdr:to>
    <xdr:grpSp>
      <xdr:nvGrpSpPr>
        <xdr:cNvPr id="3" name="Group 2">
          <a:extLst>
            <a:ext uri="{FF2B5EF4-FFF2-40B4-BE49-F238E27FC236}">
              <a16:creationId xmlns:a16="http://schemas.microsoft.com/office/drawing/2014/main" id="{3BB590DB-C778-3483-C4AE-66CE29CBB134}"/>
            </a:ext>
          </a:extLst>
        </xdr:cNvPr>
        <xdr:cNvGrpSpPr/>
      </xdr:nvGrpSpPr>
      <xdr:grpSpPr>
        <a:xfrm>
          <a:off x="1210680" y="204577"/>
          <a:ext cx="7171320" cy="815229"/>
          <a:chOff x="1210680" y="204577"/>
          <a:chExt cx="7171320" cy="815229"/>
        </a:xfrm>
      </xdr:grpSpPr>
      <xdr:grpSp>
        <xdr:nvGrpSpPr>
          <xdr:cNvPr id="10" name="Group 9">
            <a:extLst>
              <a:ext uri="{FF2B5EF4-FFF2-40B4-BE49-F238E27FC236}">
                <a16:creationId xmlns:a16="http://schemas.microsoft.com/office/drawing/2014/main" id="{00000000-0008-0000-0000-00000A000000}"/>
              </a:ext>
            </a:extLst>
          </xdr:cNvPr>
          <xdr:cNvGrpSpPr/>
        </xdr:nvGrpSpPr>
        <xdr:grpSpPr>
          <a:xfrm>
            <a:off x="3820520" y="204577"/>
            <a:ext cx="4561480" cy="815229"/>
            <a:chOff x="4002417" y="162979"/>
            <a:chExt cx="4681932" cy="773606"/>
          </a:xfrm>
        </xdr:grpSpPr>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002417" y="162979"/>
              <a:ext cx="2208464" cy="77360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a:solidFill>
                    <a:sysClr val="windowText" lastClr="000000"/>
                  </a:solidFill>
                </a:rPr>
                <a:t>OGCancerAudit@rcseng.ac.uk</a:t>
              </a:r>
            </a:p>
            <a:p>
              <a:pPr algn="l"/>
              <a:r>
                <a:rPr lang="en-GB" sz="1100">
                  <a:solidFill>
                    <a:sysClr val="windowText" lastClr="000000"/>
                  </a:solidFill>
                </a:rPr>
                <a:t>NOGCA.org.uk</a:t>
              </a:r>
            </a:p>
            <a:p>
              <a:pPr algn="l"/>
              <a:r>
                <a:rPr lang="en-GB" sz="1100" baseline="0">
                  <a:solidFill>
                    <a:sysClr val="windowText" lastClr="000000"/>
                  </a:solidFill>
                </a:rPr>
                <a:t>Twitter/X: </a:t>
              </a:r>
              <a:r>
                <a:rPr lang="en-GB">
                  <a:solidFill>
                    <a:sysClr val="windowText" lastClr="000000"/>
                  </a:solidFill>
                </a:rPr>
                <a:t>@NOGCA_NATCAN</a:t>
              </a:r>
              <a:endParaRPr lang="en-GB" sz="1100">
                <a:solidFill>
                  <a:sysClr val="windowText" lastClr="000000"/>
                </a:solidFill>
              </a:endParaRPr>
            </a:p>
          </xdr:txBody>
        </xdr:sp>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5237" y="187584"/>
              <a:ext cx="2149112" cy="683239"/>
            </a:xfrm>
            <a:prstGeom prst="rect">
              <a:avLst/>
            </a:prstGeom>
          </xdr:spPr>
        </xdr:pic>
      </xdr:grpSp>
      <xdr:pic>
        <xdr:nvPicPr>
          <xdr:cNvPr id="2" name="Picture 1">
            <a:extLst>
              <a:ext uri="{FF2B5EF4-FFF2-40B4-BE49-F238E27FC236}">
                <a16:creationId xmlns:a16="http://schemas.microsoft.com/office/drawing/2014/main" id="{50140BEE-BE3A-8BBC-59D6-E7BB480613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0680" y="230504"/>
            <a:ext cx="2374558" cy="7200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57150</xdr:rowOff>
    </xdr:from>
    <xdr:to>
      <xdr:col>2</xdr:col>
      <xdr:colOff>7171320</xdr:colOff>
      <xdr:row>5</xdr:row>
      <xdr:rowOff>110379</xdr:rowOff>
    </xdr:to>
    <xdr:grpSp>
      <xdr:nvGrpSpPr>
        <xdr:cNvPr id="2" name="Group 1">
          <a:extLst>
            <a:ext uri="{FF2B5EF4-FFF2-40B4-BE49-F238E27FC236}">
              <a16:creationId xmlns:a16="http://schemas.microsoft.com/office/drawing/2014/main" id="{4F31E6E1-C3E7-4F43-B081-A8B1131676DC}"/>
            </a:ext>
          </a:extLst>
        </xdr:cNvPr>
        <xdr:cNvGrpSpPr/>
      </xdr:nvGrpSpPr>
      <xdr:grpSpPr>
        <a:xfrm>
          <a:off x="1181100" y="247650"/>
          <a:ext cx="7171320" cy="815229"/>
          <a:chOff x="1210680" y="204577"/>
          <a:chExt cx="7171320" cy="815229"/>
        </a:xfrm>
      </xdr:grpSpPr>
      <xdr:grpSp>
        <xdr:nvGrpSpPr>
          <xdr:cNvPr id="3" name="Group 2">
            <a:extLst>
              <a:ext uri="{FF2B5EF4-FFF2-40B4-BE49-F238E27FC236}">
                <a16:creationId xmlns:a16="http://schemas.microsoft.com/office/drawing/2014/main" id="{836FF111-0F6E-6490-79C2-02BEFE5D7479}"/>
              </a:ext>
            </a:extLst>
          </xdr:cNvPr>
          <xdr:cNvGrpSpPr/>
        </xdr:nvGrpSpPr>
        <xdr:grpSpPr>
          <a:xfrm>
            <a:off x="3820520" y="204577"/>
            <a:ext cx="4561480" cy="815229"/>
            <a:chOff x="4002417" y="162979"/>
            <a:chExt cx="4681932" cy="773606"/>
          </a:xfrm>
        </xdr:grpSpPr>
        <xdr:sp macro="" textlink="">
          <xdr:nvSpPr>
            <xdr:cNvPr id="5" name="TextBox 4">
              <a:extLst>
                <a:ext uri="{FF2B5EF4-FFF2-40B4-BE49-F238E27FC236}">
                  <a16:creationId xmlns:a16="http://schemas.microsoft.com/office/drawing/2014/main" id="{82ABC6D1-8683-B7C0-4EF3-2362D402ED36}"/>
                </a:ext>
              </a:extLst>
            </xdr:cNvPr>
            <xdr:cNvSpPr txBox="1"/>
          </xdr:nvSpPr>
          <xdr:spPr>
            <a:xfrm>
              <a:off x="4002417" y="162979"/>
              <a:ext cx="2208464" cy="77360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a:solidFill>
                    <a:sysClr val="windowText" lastClr="000000"/>
                  </a:solidFill>
                </a:rPr>
                <a:t>OGCancerAudit@rcseng.ac.uk</a:t>
              </a:r>
            </a:p>
            <a:p>
              <a:pPr algn="l"/>
              <a:r>
                <a:rPr lang="en-GB" sz="1100">
                  <a:solidFill>
                    <a:sysClr val="windowText" lastClr="000000"/>
                  </a:solidFill>
                </a:rPr>
                <a:t>NOGCA.org.uk</a:t>
              </a:r>
            </a:p>
            <a:p>
              <a:pPr algn="l"/>
              <a:r>
                <a:rPr lang="en-GB" sz="1100" baseline="0">
                  <a:solidFill>
                    <a:sysClr val="windowText" lastClr="000000"/>
                  </a:solidFill>
                </a:rPr>
                <a:t>Twitter/X: </a:t>
              </a:r>
              <a:r>
                <a:rPr lang="en-GB">
                  <a:solidFill>
                    <a:sysClr val="windowText" lastClr="000000"/>
                  </a:solidFill>
                </a:rPr>
                <a:t>@NOGCA_NATCAN</a:t>
              </a:r>
              <a:endParaRPr lang="en-GB" sz="1100">
                <a:solidFill>
                  <a:sysClr val="windowText" lastClr="000000"/>
                </a:solidFill>
              </a:endParaRPr>
            </a:p>
          </xdr:txBody>
        </xdr:sp>
        <xdr:pic>
          <xdr:nvPicPr>
            <xdr:cNvPr id="6" name="Picture 5">
              <a:extLst>
                <a:ext uri="{FF2B5EF4-FFF2-40B4-BE49-F238E27FC236}">
                  <a16:creationId xmlns:a16="http://schemas.microsoft.com/office/drawing/2014/main" id="{6725AE02-366B-5655-CE9F-9A27FDF2F0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5237" y="187584"/>
              <a:ext cx="2149112" cy="683239"/>
            </a:xfrm>
            <a:prstGeom prst="rect">
              <a:avLst/>
            </a:prstGeom>
          </xdr:spPr>
        </xdr:pic>
      </xdr:grpSp>
      <xdr:pic>
        <xdr:nvPicPr>
          <xdr:cNvPr id="4" name="Picture 3">
            <a:extLst>
              <a:ext uri="{FF2B5EF4-FFF2-40B4-BE49-F238E27FC236}">
                <a16:creationId xmlns:a16="http://schemas.microsoft.com/office/drawing/2014/main" id="{B9676152-F9BB-A9C9-8EB6-041001F5ED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0680" y="230504"/>
            <a:ext cx="2374558" cy="7200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66675</xdr:colOff>
      <xdr:row>0</xdr:row>
      <xdr:rowOff>171450</xdr:rowOff>
    </xdr:from>
    <xdr:to>
      <xdr:col>2</xdr:col>
      <xdr:colOff>7237995</xdr:colOff>
      <xdr:row>5</xdr:row>
      <xdr:rowOff>34179</xdr:rowOff>
    </xdr:to>
    <xdr:grpSp>
      <xdr:nvGrpSpPr>
        <xdr:cNvPr id="3" name="Group 2">
          <a:extLst>
            <a:ext uri="{FF2B5EF4-FFF2-40B4-BE49-F238E27FC236}">
              <a16:creationId xmlns:a16="http://schemas.microsoft.com/office/drawing/2014/main" id="{A4892FFF-22B0-4D70-A63D-C064B202C900}"/>
            </a:ext>
          </a:extLst>
        </xdr:cNvPr>
        <xdr:cNvGrpSpPr/>
      </xdr:nvGrpSpPr>
      <xdr:grpSpPr>
        <a:xfrm>
          <a:off x="1285875" y="171450"/>
          <a:ext cx="7171320" cy="815229"/>
          <a:chOff x="1210680" y="204577"/>
          <a:chExt cx="7171320" cy="815229"/>
        </a:xfrm>
      </xdr:grpSpPr>
      <xdr:grpSp>
        <xdr:nvGrpSpPr>
          <xdr:cNvPr id="4" name="Group 3">
            <a:extLst>
              <a:ext uri="{FF2B5EF4-FFF2-40B4-BE49-F238E27FC236}">
                <a16:creationId xmlns:a16="http://schemas.microsoft.com/office/drawing/2014/main" id="{CAC17417-36B5-337B-EDA4-F88547B38DF4}"/>
              </a:ext>
            </a:extLst>
          </xdr:cNvPr>
          <xdr:cNvGrpSpPr/>
        </xdr:nvGrpSpPr>
        <xdr:grpSpPr>
          <a:xfrm>
            <a:off x="3820520" y="204577"/>
            <a:ext cx="4561480" cy="815229"/>
            <a:chOff x="4002417" y="162979"/>
            <a:chExt cx="4681932" cy="773606"/>
          </a:xfrm>
        </xdr:grpSpPr>
        <xdr:sp macro="" textlink="">
          <xdr:nvSpPr>
            <xdr:cNvPr id="9" name="TextBox 8">
              <a:extLst>
                <a:ext uri="{FF2B5EF4-FFF2-40B4-BE49-F238E27FC236}">
                  <a16:creationId xmlns:a16="http://schemas.microsoft.com/office/drawing/2014/main" id="{C66BBAF1-1089-B6D4-F2E4-B4D836C29E00}"/>
                </a:ext>
              </a:extLst>
            </xdr:cNvPr>
            <xdr:cNvSpPr txBox="1"/>
          </xdr:nvSpPr>
          <xdr:spPr>
            <a:xfrm>
              <a:off x="4002417" y="162979"/>
              <a:ext cx="2208464" cy="77360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a:solidFill>
                    <a:sysClr val="windowText" lastClr="000000"/>
                  </a:solidFill>
                </a:rPr>
                <a:t>OGCancerAudit@rcseng.ac.uk</a:t>
              </a:r>
            </a:p>
            <a:p>
              <a:pPr algn="l"/>
              <a:r>
                <a:rPr lang="en-GB" sz="1100">
                  <a:solidFill>
                    <a:sysClr val="windowText" lastClr="000000"/>
                  </a:solidFill>
                </a:rPr>
                <a:t>NOGCA.org.uk</a:t>
              </a:r>
            </a:p>
            <a:p>
              <a:pPr algn="l"/>
              <a:r>
                <a:rPr lang="en-GB" sz="1100" baseline="0">
                  <a:solidFill>
                    <a:sysClr val="windowText" lastClr="000000"/>
                  </a:solidFill>
                </a:rPr>
                <a:t>Twitter/X: </a:t>
              </a:r>
              <a:r>
                <a:rPr lang="en-GB">
                  <a:solidFill>
                    <a:sysClr val="windowText" lastClr="000000"/>
                  </a:solidFill>
                </a:rPr>
                <a:t>@NOGCA_NATCAN</a:t>
              </a:r>
              <a:endParaRPr lang="en-GB" sz="1100">
                <a:solidFill>
                  <a:sysClr val="windowText" lastClr="000000"/>
                </a:solidFill>
              </a:endParaRPr>
            </a:p>
          </xdr:txBody>
        </xdr:sp>
        <xdr:pic>
          <xdr:nvPicPr>
            <xdr:cNvPr id="10" name="Picture 9">
              <a:extLst>
                <a:ext uri="{FF2B5EF4-FFF2-40B4-BE49-F238E27FC236}">
                  <a16:creationId xmlns:a16="http://schemas.microsoft.com/office/drawing/2014/main" id="{878C4EB4-9123-F7F3-19CD-24614AD8E4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5237" y="187584"/>
              <a:ext cx="2149112" cy="683239"/>
            </a:xfrm>
            <a:prstGeom prst="rect">
              <a:avLst/>
            </a:prstGeom>
          </xdr:spPr>
        </xdr:pic>
      </xdr:grpSp>
      <xdr:pic>
        <xdr:nvPicPr>
          <xdr:cNvPr id="5" name="Picture 4">
            <a:extLst>
              <a:ext uri="{FF2B5EF4-FFF2-40B4-BE49-F238E27FC236}">
                <a16:creationId xmlns:a16="http://schemas.microsoft.com/office/drawing/2014/main" id="{228AEA4A-2A45-12DD-829C-5BC93FBDA8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0680" y="230504"/>
            <a:ext cx="2374558" cy="7200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48100</xdr:colOff>
      <xdr:row>22</xdr:row>
      <xdr:rowOff>59372</xdr:rowOff>
    </xdr:from>
    <xdr:to>
      <xdr:col>14</xdr:col>
      <xdr:colOff>1084217</xdr:colOff>
      <xdr:row>40</xdr:row>
      <xdr:rowOff>94115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xdr:col>
      <xdr:colOff>100826</xdr:colOff>
      <xdr:row>0</xdr:row>
      <xdr:rowOff>212911</xdr:rowOff>
    </xdr:from>
    <xdr:to>
      <xdr:col>6</xdr:col>
      <xdr:colOff>1232175</xdr:colOff>
      <xdr:row>4</xdr:row>
      <xdr:rowOff>131669</xdr:rowOff>
    </xdr:to>
    <xdr:grpSp>
      <xdr:nvGrpSpPr>
        <xdr:cNvPr id="3" name="Group 2">
          <a:extLst>
            <a:ext uri="{FF2B5EF4-FFF2-40B4-BE49-F238E27FC236}">
              <a16:creationId xmlns:a16="http://schemas.microsoft.com/office/drawing/2014/main" id="{96FFF715-E28F-4006-B3F1-70D23E507807}"/>
            </a:ext>
          </a:extLst>
        </xdr:cNvPr>
        <xdr:cNvGrpSpPr/>
      </xdr:nvGrpSpPr>
      <xdr:grpSpPr>
        <a:xfrm>
          <a:off x="558026" y="212911"/>
          <a:ext cx="7176549" cy="833158"/>
          <a:chOff x="1210680" y="204577"/>
          <a:chExt cx="7171320" cy="815229"/>
        </a:xfrm>
      </xdr:grpSpPr>
      <xdr:grpSp>
        <xdr:nvGrpSpPr>
          <xdr:cNvPr id="8" name="Group 7">
            <a:extLst>
              <a:ext uri="{FF2B5EF4-FFF2-40B4-BE49-F238E27FC236}">
                <a16:creationId xmlns:a16="http://schemas.microsoft.com/office/drawing/2014/main" id="{AD357E34-F937-34A1-AEE2-A528E11D5EBA}"/>
              </a:ext>
            </a:extLst>
          </xdr:cNvPr>
          <xdr:cNvGrpSpPr/>
        </xdr:nvGrpSpPr>
        <xdr:grpSpPr>
          <a:xfrm>
            <a:off x="3820520" y="204577"/>
            <a:ext cx="4561480" cy="815229"/>
            <a:chOff x="4002417" y="162979"/>
            <a:chExt cx="4681932" cy="773606"/>
          </a:xfrm>
        </xdr:grpSpPr>
        <xdr:sp macro="" textlink="">
          <xdr:nvSpPr>
            <xdr:cNvPr id="10" name="TextBox 9">
              <a:extLst>
                <a:ext uri="{FF2B5EF4-FFF2-40B4-BE49-F238E27FC236}">
                  <a16:creationId xmlns:a16="http://schemas.microsoft.com/office/drawing/2014/main" id="{E8D25C55-EF3F-EFA7-5D76-714B24FBDFC8}"/>
                </a:ext>
              </a:extLst>
            </xdr:cNvPr>
            <xdr:cNvSpPr txBox="1"/>
          </xdr:nvSpPr>
          <xdr:spPr>
            <a:xfrm>
              <a:off x="4002417" y="162979"/>
              <a:ext cx="2208464" cy="77360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a:solidFill>
                    <a:sysClr val="windowText" lastClr="000000"/>
                  </a:solidFill>
                </a:rPr>
                <a:t>OGCancerAudit@rcseng.ac.uk</a:t>
              </a:r>
            </a:p>
            <a:p>
              <a:pPr algn="l"/>
              <a:r>
                <a:rPr lang="en-GB" sz="1100">
                  <a:solidFill>
                    <a:sysClr val="windowText" lastClr="000000"/>
                  </a:solidFill>
                </a:rPr>
                <a:t>NOGCA.org.uk</a:t>
              </a:r>
            </a:p>
            <a:p>
              <a:pPr algn="l"/>
              <a:r>
                <a:rPr lang="en-GB" sz="1100" baseline="0">
                  <a:solidFill>
                    <a:sysClr val="windowText" lastClr="000000"/>
                  </a:solidFill>
                </a:rPr>
                <a:t>Twitter/X: </a:t>
              </a:r>
              <a:r>
                <a:rPr lang="en-GB">
                  <a:solidFill>
                    <a:sysClr val="windowText" lastClr="000000"/>
                  </a:solidFill>
                </a:rPr>
                <a:t>@NOGCA_NATCAN</a:t>
              </a:r>
              <a:endParaRPr lang="en-GB" sz="1100">
                <a:solidFill>
                  <a:sysClr val="windowText" lastClr="000000"/>
                </a:solidFill>
              </a:endParaRPr>
            </a:p>
          </xdr:txBody>
        </xdr:sp>
        <xdr:pic>
          <xdr:nvPicPr>
            <xdr:cNvPr id="12" name="Picture 11">
              <a:extLst>
                <a:ext uri="{FF2B5EF4-FFF2-40B4-BE49-F238E27FC236}">
                  <a16:creationId xmlns:a16="http://schemas.microsoft.com/office/drawing/2014/main" id="{06B949AA-B2F7-779C-22A1-33C5367FB2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35237" y="187584"/>
              <a:ext cx="2149112" cy="683239"/>
            </a:xfrm>
            <a:prstGeom prst="rect">
              <a:avLst/>
            </a:prstGeom>
          </xdr:spPr>
        </xdr:pic>
      </xdr:grpSp>
      <xdr:pic>
        <xdr:nvPicPr>
          <xdr:cNvPr id="9" name="Picture 8">
            <a:extLst>
              <a:ext uri="{FF2B5EF4-FFF2-40B4-BE49-F238E27FC236}">
                <a16:creationId xmlns:a16="http://schemas.microsoft.com/office/drawing/2014/main" id="{99F29002-E378-CFE2-F5EE-D112ED92EB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10680" y="230504"/>
            <a:ext cx="2374558" cy="7200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44824</xdr:colOff>
      <xdr:row>1</xdr:row>
      <xdr:rowOff>11204</xdr:rowOff>
    </xdr:from>
    <xdr:to>
      <xdr:col>7</xdr:col>
      <xdr:colOff>873614</xdr:colOff>
      <xdr:row>4</xdr:row>
      <xdr:rowOff>154080</xdr:rowOff>
    </xdr:to>
    <xdr:grpSp>
      <xdr:nvGrpSpPr>
        <xdr:cNvPr id="3" name="Group 2">
          <a:extLst>
            <a:ext uri="{FF2B5EF4-FFF2-40B4-BE49-F238E27FC236}">
              <a16:creationId xmlns:a16="http://schemas.microsoft.com/office/drawing/2014/main" id="{9EEA70AC-2BDE-4C54-B0CD-5094B1313883}"/>
            </a:ext>
          </a:extLst>
        </xdr:cNvPr>
        <xdr:cNvGrpSpPr/>
      </xdr:nvGrpSpPr>
      <xdr:grpSpPr>
        <a:xfrm>
          <a:off x="502024" y="239804"/>
          <a:ext cx="7153390" cy="828676"/>
          <a:chOff x="1210680" y="204577"/>
          <a:chExt cx="7171320" cy="815229"/>
        </a:xfrm>
      </xdr:grpSpPr>
      <xdr:grpSp>
        <xdr:nvGrpSpPr>
          <xdr:cNvPr id="4" name="Group 3">
            <a:extLst>
              <a:ext uri="{FF2B5EF4-FFF2-40B4-BE49-F238E27FC236}">
                <a16:creationId xmlns:a16="http://schemas.microsoft.com/office/drawing/2014/main" id="{12F34170-1B6C-90C3-E866-F832AAFCC23E}"/>
              </a:ext>
            </a:extLst>
          </xdr:cNvPr>
          <xdr:cNvGrpSpPr/>
        </xdr:nvGrpSpPr>
        <xdr:grpSpPr>
          <a:xfrm>
            <a:off x="3820520" y="204577"/>
            <a:ext cx="4561480" cy="815229"/>
            <a:chOff x="4002417" y="162979"/>
            <a:chExt cx="4681932" cy="773606"/>
          </a:xfrm>
        </xdr:grpSpPr>
        <xdr:sp macro="" textlink="">
          <xdr:nvSpPr>
            <xdr:cNvPr id="6" name="TextBox 5">
              <a:extLst>
                <a:ext uri="{FF2B5EF4-FFF2-40B4-BE49-F238E27FC236}">
                  <a16:creationId xmlns:a16="http://schemas.microsoft.com/office/drawing/2014/main" id="{919EEC18-1DA5-8023-FFE1-34F3CB733A66}"/>
                </a:ext>
              </a:extLst>
            </xdr:cNvPr>
            <xdr:cNvSpPr txBox="1"/>
          </xdr:nvSpPr>
          <xdr:spPr>
            <a:xfrm>
              <a:off x="4002417" y="162979"/>
              <a:ext cx="2208464" cy="77360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a:solidFill>
                    <a:sysClr val="windowText" lastClr="000000"/>
                  </a:solidFill>
                </a:rPr>
                <a:t>OGCancerAudit@rcseng.ac.uk</a:t>
              </a:r>
            </a:p>
            <a:p>
              <a:pPr algn="l"/>
              <a:r>
                <a:rPr lang="en-GB" sz="1100">
                  <a:solidFill>
                    <a:sysClr val="windowText" lastClr="000000"/>
                  </a:solidFill>
                </a:rPr>
                <a:t>NOGCA.org.uk</a:t>
              </a:r>
            </a:p>
            <a:p>
              <a:pPr algn="l"/>
              <a:r>
                <a:rPr lang="en-GB" sz="1100" baseline="0">
                  <a:solidFill>
                    <a:sysClr val="windowText" lastClr="000000"/>
                  </a:solidFill>
                </a:rPr>
                <a:t>Twitter/X: </a:t>
              </a:r>
              <a:r>
                <a:rPr lang="en-GB">
                  <a:solidFill>
                    <a:sysClr val="windowText" lastClr="000000"/>
                  </a:solidFill>
                </a:rPr>
                <a:t>@NOGCA_NATCAN</a:t>
              </a:r>
              <a:endParaRPr lang="en-GB" sz="1100">
                <a:solidFill>
                  <a:sysClr val="windowText" lastClr="000000"/>
                </a:solidFill>
              </a:endParaRPr>
            </a:p>
          </xdr:txBody>
        </xdr:sp>
        <xdr:pic>
          <xdr:nvPicPr>
            <xdr:cNvPr id="7" name="Picture 6">
              <a:extLst>
                <a:ext uri="{FF2B5EF4-FFF2-40B4-BE49-F238E27FC236}">
                  <a16:creationId xmlns:a16="http://schemas.microsoft.com/office/drawing/2014/main" id="{9A995F6F-A2CD-A18E-A64F-B56279485D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5237" y="187584"/>
              <a:ext cx="2149112" cy="683239"/>
            </a:xfrm>
            <a:prstGeom prst="rect">
              <a:avLst/>
            </a:prstGeom>
          </xdr:spPr>
        </xdr:pic>
      </xdr:grpSp>
      <xdr:pic>
        <xdr:nvPicPr>
          <xdr:cNvPr id="5" name="Picture 4">
            <a:extLst>
              <a:ext uri="{FF2B5EF4-FFF2-40B4-BE49-F238E27FC236}">
                <a16:creationId xmlns:a16="http://schemas.microsoft.com/office/drawing/2014/main" id="{5D6246B9-7290-3994-EA4A-6AFCF3FD94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0680" y="230504"/>
            <a:ext cx="2374558" cy="720000"/>
          </a:xfrm>
          <a:prstGeom prst="rect">
            <a:avLst/>
          </a:prstGeom>
        </xdr:spPr>
      </xdr:pic>
    </xdr:grp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test%20v0.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lla Barber" refreshedDate="44998.522515046294" createdVersion="8" refreshedVersion="8" minRefreshableVersion="3" recordCount="126" xr:uid="{00000000-000A-0000-FFFF-FFFF01000000}">
  <cacheSource type="worksheet">
    <worksheetSource ref="A1:D127" sheet="trust_data" r:id="rId2"/>
  </cacheSource>
  <cacheFields count="4">
    <cacheField name="trust_name" numFmtId="0">
      <sharedItems/>
    </cacheField>
    <cacheField name="trust_code" numFmtId="0">
      <sharedItems/>
    </cacheField>
    <cacheField name="alliance_name" numFmtId="0">
      <sharedItems count="21">
        <s v="West Yorkshire and Harrogate"/>
        <s v="Surrey and Sussex"/>
        <s v="North East London"/>
        <s v="South Yorkshire and Bassetlaw"/>
        <s v="East of England - South"/>
        <s v="Lancashire and South Cumbria"/>
        <s v="Greater Manchester"/>
        <s v="Thames Valley"/>
        <s v="East of England - North"/>
        <s v="RM Partners West London"/>
        <s v="East Midlands"/>
        <s v="Cheshire and Merseyside"/>
        <s v="Northern"/>
        <s v="Kent and Medway"/>
        <s v="Wessex"/>
        <s v="West Midlands"/>
        <s v="Somerset, Wiltshire, Avon &amp; Gloucestershire"/>
        <s v="South East London"/>
        <s v="Humber, Coast and Vale"/>
        <s v="North Central London"/>
        <s v="Peninsula"/>
      </sharedItems>
    </cacheField>
    <cacheField name="alliance_cod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
  <r>
    <s v="Airedale NHS Foundation Trust"/>
    <s v="RCF"/>
    <x v="0"/>
    <s v="A19"/>
  </r>
  <r>
    <s v="Ashford and St Peter's Hospitals NHS Foundation Trust"/>
    <s v="RTK"/>
    <x v="1"/>
    <s v="A14"/>
  </r>
  <r>
    <s v="Barking, Havering and Redbridge University Hospitals NHS Trust"/>
    <s v="RF4"/>
    <x v="2"/>
    <s v="A08b"/>
  </r>
  <r>
    <s v="Barnsley Hospital NHS Foundation Trust"/>
    <s v="RFF"/>
    <x v="3"/>
    <s v="A13"/>
  </r>
  <r>
    <s v="Barts Health NHS Trust"/>
    <s v="R1H"/>
    <x v="2"/>
    <s v="A08b"/>
  </r>
  <r>
    <s v="Bedfordshire Hospitals NHS Foundation Trust"/>
    <s v="RC9"/>
    <x v="4"/>
    <s v="A03b"/>
  </r>
  <r>
    <s v="Blackpool Teaching Hospitals NHS Foundation Trust"/>
    <s v="RXL"/>
    <x v="5"/>
    <s v="A07"/>
  </r>
  <r>
    <s v="Bolton NHS Foundation Trust"/>
    <s v="RMC"/>
    <x v="6"/>
    <s v="A04"/>
  </r>
  <r>
    <s v="Bradford Teaching Hospitals NHS Foundation Trust"/>
    <s v="RAE"/>
    <x v="0"/>
    <s v="A19"/>
  </r>
  <r>
    <s v="Buckinghamshire Healthcare NHS Trust"/>
    <s v="RXQ"/>
    <x v="7"/>
    <s v="A15"/>
  </r>
  <r>
    <s v="Calderdale And Huddersfield NHS Foundation Trust"/>
    <s v="RWY"/>
    <x v="0"/>
    <s v="A19"/>
  </r>
  <r>
    <s v="Cambridge University Hospitals NHS Foundation Trust"/>
    <s v="RGT"/>
    <x v="8"/>
    <s v="A03a"/>
  </r>
  <r>
    <s v="Chelsea and Westminster Hospital NHS Foundation Trust"/>
    <s v="RQM"/>
    <x v="9"/>
    <s v="A17"/>
  </r>
  <r>
    <s v="Chesterfield Royal Hospital NHS Foundation Trust"/>
    <s v="RFS"/>
    <x v="10"/>
    <s v="A02"/>
  </r>
  <r>
    <s v="Countess of Chester Hospital NHS Foundation Trust"/>
    <s v="RJR"/>
    <x v="11"/>
    <s v="A01"/>
  </r>
  <r>
    <s v="County Durham and Darlington NHS Foundation Trust"/>
    <s v="RXP"/>
    <x v="12"/>
    <s v="A09"/>
  </r>
  <r>
    <s v="Croydon Health Services NHS Trust"/>
    <s v="RJ6"/>
    <x v="9"/>
    <s v="A17"/>
  </r>
  <r>
    <s v="Dartford and Gravesham NHS Trust"/>
    <s v="RN7"/>
    <x v="13"/>
    <s v="A06"/>
  </r>
  <r>
    <s v="Doncaster and Bassetlaw Teaching Hospitals NHS Foundation Trust"/>
    <s v="RP5"/>
    <x v="3"/>
    <s v="A13"/>
  </r>
  <r>
    <s v="Dorset County Hospital NHS Foundation Trust"/>
    <s v="RBD"/>
    <x v="14"/>
    <s v="A16"/>
  </r>
  <r>
    <s v="East and North Hertfordshire NHS Trust"/>
    <s v="RWH"/>
    <x v="4"/>
    <s v="A03b"/>
  </r>
  <r>
    <s v="East Cheshire NHS Trust"/>
    <s v="RJN"/>
    <x v="11"/>
    <s v="A01"/>
  </r>
  <r>
    <s v="East Kent Hospitals University NHS Foundation Trust"/>
    <s v="RVV"/>
    <x v="13"/>
    <s v="A06"/>
  </r>
  <r>
    <s v="East Lancashire Hospitals NHS Trust"/>
    <s v="RXR"/>
    <x v="5"/>
    <s v="A07"/>
  </r>
  <r>
    <s v="East Suffolk and North Essex NHS Foundation Trust"/>
    <s v="RDE"/>
    <x v="8"/>
    <s v="A03a"/>
  </r>
  <r>
    <s v="East Sussex Healthcare NHS Trust"/>
    <s v="RXC"/>
    <x v="1"/>
    <s v="A14"/>
  </r>
  <r>
    <s v="Epsom And St Helier University Hospitals NHS Trust"/>
    <s v="RVR"/>
    <x v="9"/>
    <s v="A17"/>
  </r>
  <r>
    <s v="Frimley Health NHS Foundation Trust"/>
    <s v="RDU"/>
    <x v="1"/>
    <s v="A14"/>
  </r>
  <r>
    <s v="Gateshead Health NHS Foundation Trust"/>
    <s v="RR7"/>
    <x v="12"/>
    <s v="A09"/>
  </r>
  <r>
    <s v="George Eliot Hospital NHS Trust"/>
    <s v="RLT"/>
    <x v="15"/>
    <s v="A18"/>
  </r>
  <r>
    <s v="Gloucestershire Hospitals NHS Foundation Trust"/>
    <s v="RTE"/>
    <x v="16"/>
    <s v="A11"/>
  </r>
  <r>
    <s v="Great Western Hospitals NHS Foundation Trust"/>
    <s v="RN3"/>
    <x v="16"/>
    <s v="A11"/>
  </r>
  <r>
    <s v="Guy's and St Thomas' NHS Foundation Trust"/>
    <s v="RJ1"/>
    <x v="17"/>
    <s v="A12"/>
  </r>
  <r>
    <s v="Hampshire Hospitals NHS Foundation Trust"/>
    <s v="RN5"/>
    <x v="14"/>
    <s v="A16"/>
  </r>
  <r>
    <s v="Harrogate and District NHS Foundation Trust"/>
    <s v="RCD"/>
    <x v="18"/>
    <s v="A05"/>
  </r>
  <r>
    <s v="Homerton University Hospital NHS Foundation Trust"/>
    <s v="RQX"/>
    <x v="2"/>
    <s v="A08b"/>
  </r>
  <r>
    <s v="Hull University Teaching Hospitals NHS Trust"/>
    <s v="RWA"/>
    <x v="18"/>
    <s v="A05"/>
  </r>
  <r>
    <s v="Imperial College Healthcare NHS Trust"/>
    <s v="RYJ"/>
    <x v="9"/>
    <s v="A17"/>
  </r>
  <r>
    <s v="Isle of Wight NHS Trust"/>
    <s v="R1F"/>
    <x v="14"/>
    <s v="A16"/>
  </r>
  <r>
    <s v="James Paget University Hospitals NHS Foundation Trust"/>
    <s v="RGP"/>
    <x v="8"/>
    <s v="A03a"/>
  </r>
  <r>
    <s v="Kettering General Hospital NHS Foundation Trust"/>
    <s v="RNQ"/>
    <x v="10"/>
    <s v="A02"/>
  </r>
  <r>
    <s v="King's College Hospital NHS Foundation Trust"/>
    <s v="RJZ"/>
    <x v="17"/>
    <s v="A12"/>
  </r>
  <r>
    <s v="Kingston Hospital NHS Foundation Trust"/>
    <s v="RAX"/>
    <x v="9"/>
    <s v="A17"/>
  </r>
  <r>
    <s v="Lancashire Teaching Hospitals NHS Foundation Trust"/>
    <s v="RXN"/>
    <x v="5"/>
    <s v="A07"/>
  </r>
  <r>
    <s v="Leeds Teaching Hospitals NHS Trust"/>
    <s v="RR8"/>
    <x v="0"/>
    <s v="A19"/>
  </r>
  <r>
    <s v="Lewisham and Greenwich NHS Trust"/>
    <s v="RJ2"/>
    <x v="17"/>
    <s v="A12"/>
  </r>
  <r>
    <s v="Liverpool Heart and Chest Hospital NHS Foundation Trust"/>
    <s v="RBQ"/>
    <x v="11"/>
    <s v="A01"/>
  </r>
  <r>
    <s v="Liverpool University Hospitals NHS Foundation Trust"/>
    <s v="REM"/>
    <x v="11"/>
    <s v="A01"/>
  </r>
  <r>
    <s v="London North West Healthcare NHS Trust"/>
    <s v="R1K"/>
    <x v="9"/>
    <s v="A17"/>
  </r>
  <r>
    <s v="Maidstone and Tunbridge Wells NHS Trust"/>
    <s v="RWF"/>
    <x v="13"/>
    <s v="A06"/>
  </r>
  <r>
    <s v="Manchester University NHS Foundation Trust"/>
    <s v="R0A"/>
    <x v="6"/>
    <s v="A04"/>
  </r>
  <r>
    <s v="Medway NHS Foundation Trust"/>
    <s v="RPA"/>
    <x v="13"/>
    <s v="A06"/>
  </r>
  <r>
    <s v="Mid and South Essex NHS Foundation Trust"/>
    <s v="RAJ"/>
    <x v="4"/>
    <s v="A03b"/>
  </r>
  <r>
    <s v="Mid Cheshire Hospitals NHS Foundation Trust"/>
    <s v="RBT"/>
    <x v="11"/>
    <s v="A01"/>
  </r>
  <r>
    <s v="Mid Yorkshire Hospitals NHS Trust"/>
    <s v="RXF"/>
    <x v="0"/>
    <s v="A19"/>
  </r>
  <r>
    <s v="Milton Keynes University Hospital NHS Foundation Trust"/>
    <s v="RD8"/>
    <x v="4"/>
    <s v="A03b"/>
  </r>
  <r>
    <s v="Norfolk and Norwich University Hospitals NHS Foundation Trust"/>
    <s v="RM1"/>
    <x v="8"/>
    <s v="A03a"/>
  </r>
  <r>
    <s v="North Bristol NHS Trust"/>
    <s v="RVJ"/>
    <x v="16"/>
    <s v="A11"/>
  </r>
  <r>
    <s v="North Cumbria Integrated Care NHS Foundation Trust"/>
    <s v="RNN"/>
    <x v="12"/>
    <s v="A09"/>
  </r>
  <r>
    <s v="North Middlesex University Hospital NHS Trust"/>
    <s v="RAP"/>
    <x v="19"/>
    <s v="A08a"/>
  </r>
  <r>
    <s v="North Tees And Hartlepool NHS Foundation Trust"/>
    <s v="RVW"/>
    <x v="12"/>
    <s v="A09"/>
  </r>
  <r>
    <s v="North West Anglia NHS Foundation Trust"/>
    <s v="RGN"/>
    <x v="8"/>
    <s v="A03a"/>
  </r>
  <r>
    <s v="Northampton General Hospital NHS Trust"/>
    <s v="RNS"/>
    <x v="10"/>
    <s v="A02"/>
  </r>
  <r>
    <s v="Northern Lincolnshire and Goole NHS Foundation Trust"/>
    <s v="RJL"/>
    <x v="18"/>
    <s v="A05"/>
  </r>
  <r>
    <s v="Northumbria Healthcare NHS Foundation Trust"/>
    <s v="RTF"/>
    <x v="12"/>
    <s v="A09"/>
  </r>
  <r>
    <s v="Nottingham University Hospitals NHS Trust"/>
    <s v="RX1"/>
    <x v="10"/>
    <s v="A02"/>
  </r>
  <r>
    <s v="Oxford University Hospitals NHS Foundation Trust"/>
    <s v="RTH"/>
    <x v="7"/>
    <s v="A15"/>
  </r>
  <r>
    <s v="Papworth Hospital NHS Foundation Trust"/>
    <s v="RGM"/>
    <x v="8"/>
    <s v="A03a"/>
  </r>
  <r>
    <s v="Plymouth Hospitals NHS Trust"/>
    <s v="RK9"/>
    <x v="20"/>
    <s v="A10"/>
  </r>
  <r>
    <s v="Portsmouth Hospitals NHS Trust"/>
    <s v="RHU"/>
    <x v="14"/>
    <s v="A16"/>
  </r>
  <r>
    <s v="Royal Berkshire NHS Foundation Trust"/>
    <s v="RHW"/>
    <x v="7"/>
    <s v="A15"/>
  </r>
  <r>
    <s v="Royal Cornwall Hospitals NHS Trust"/>
    <s v="REF"/>
    <x v="20"/>
    <s v="A10"/>
  </r>
  <r>
    <s v="Royal Devon and Exeter NHS Foundation Trust"/>
    <s v="RH8"/>
    <x v="20"/>
    <s v="A10"/>
  </r>
  <r>
    <s v="Royal Free London NHS Foundation Trust"/>
    <s v="RAL"/>
    <x v="19"/>
    <s v="A08a"/>
  </r>
  <r>
    <s v="Royal Surrey County Hospital NHS Foundation Trust"/>
    <s v="RA2"/>
    <x v="1"/>
    <s v="A14"/>
  </r>
  <r>
    <s v="Royal United Hospital Bath NHS Foundation Trust"/>
    <s v="RD1"/>
    <x v="16"/>
    <s v="A11"/>
  </r>
  <r>
    <s v="Salford Royal NHS Foundation Trust"/>
    <s v="RM3"/>
    <x v="6"/>
    <s v="A04"/>
  </r>
  <r>
    <s v="Salisbury NHS Foundation Trust"/>
    <s v="RNZ"/>
    <x v="16"/>
    <s v="A11"/>
  </r>
  <r>
    <s v="Sandwell and West Birmingham Hospitals NHS Trust"/>
    <s v="RXK"/>
    <x v="15"/>
    <s v="A18"/>
  </r>
  <r>
    <s v="Sheffield Teaching Hospitals NHS Foundation Trust"/>
    <s v="RHQ"/>
    <x v="3"/>
    <s v="A13"/>
  </r>
  <r>
    <s v="Sherwood Forest Hospitals NHS Foundation Trust"/>
    <s v="RK5"/>
    <x v="10"/>
    <s v="A02"/>
  </r>
  <r>
    <s v="Shrewsbury and Telford Hospital NHS Trust"/>
    <s v="RXW"/>
    <x v="15"/>
    <s v="A18"/>
  </r>
  <r>
    <s v="Somerset NHS Foundation Trust"/>
    <s v="RH5"/>
    <x v="16"/>
    <s v="A11"/>
  </r>
  <r>
    <s v="South Tees Hospitals NHS Foundation Trust"/>
    <s v="RTR"/>
    <x v="12"/>
    <s v="A09"/>
  </r>
  <r>
    <s v="South Tyneside and Sunderland NHS Foundation Trust"/>
    <s v="R0B"/>
    <x v="12"/>
    <s v="A09"/>
  </r>
  <r>
    <s v="South Warwickshire NHS Foundation Trust"/>
    <s v="RJC"/>
    <x v="15"/>
    <s v="A18"/>
  </r>
  <r>
    <s v="Southport and Ormskirk Hospital NHS Trust"/>
    <s v="RVY"/>
    <x v="11"/>
    <s v="A01"/>
  </r>
  <r>
    <s v="St George's University Hospitals NHS Foundation Trust"/>
    <s v="RJ7"/>
    <x v="9"/>
    <s v="A17"/>
  </r>
  <r>
    <s v="St Helens and Knowsley Hospital Services NHS Trust"/>
    <s v="RBN"/>
    <x v="11"/>
    <s v="A01"/>
  </r>
  <r>
    <s v="Stockport NHS Foundation Trust"/>
    <s v="RWJ"/>
    <x v="6"/>
    <s v="A04"/>
  </r>
  <r>
    <s v="Surrey and Sussex Healthcare NHS Trust"/>
    <s v="RTP"/>
    <x v="1"/>
    <s v="A14"/>
  </r>
  <r>
    <s v="Tameside and Glossop Integrated Care NHS Foundation Trust"/>
    <s v="RMP"/>
    <x v="6"/>
    <s v="A04"/>
  </r>
  <r>
    <s v="The Christie NHS Foundation Trust"/>
    <s v="RBV"/>
    <x v="6"/>
    <s v="A04"/>
  </r>
  <r>
    <s v="The Clatterbridge Cancer Centre NHS Foundation Trust"/>
    <s v="REN"/>
    <x v="11"/>
    <s v="A01"/>
  </r>
  <r>
    <s v="The Dudley Group NHS Foundation Trust"/>
    <s v="RNA"/>
    <x v="15"/>
    <s v="A18"/>
  </r>
  <r>
    <s v="The Hillingdon Hospitals NHS Foundation Trust"/>
    <s v="RAS"/>
    <x v="9"/>
    <s v="A17"/>
  </r>
  <r>
    <s v="The Newcastle upon Tyne Hospitals NHS Foundation Trust"/>
    <s v="RTD"/>
    <x v="12"/>
    <s v="A09"/>
  </r>
  <r>
    <s v="The Princess Alexandra Hospital NHS Trust"/>
    <s v="RQW"/>
    <x v="4"/>
    <s v="A03b"/>
  </r>
  <r>
    <s v="The Queen Elizabeth Hospital King's Lynn NHS Foundation Trust"/>
    <s v="RCX"/>
    <x v="8"/>
    <s v="A03a"/>
  </r>
  <r>
    <s v="The Rotherham NHS Foundation Trust"/>
    <s v="RFR"/>
    <x v="3"/>
    <s v="A13"/>
  </r>
  <r>
    <s v="The Royal Marsden NHS Foundation Trust"/>
    <s v="RPY"/>
    <x v="9"/>
    <s v="A17"/>
  </r>
  <r>
    <s v="The Royal Wolverhampton NHS Trust"/>
    <s v="RL4"/>
    <x v="15"/>
    <s v="A18"/>
  </r>
  <r>
    <s v="The Whittington Health NHS Trust"/>
    <s v="RKE"/>
    <x v="19"/>
    <s v="A08a"/>
  </r>
  <r>
    <s v="Torbay and South Devon NHS Foundation Trust"/>
    <s v="RA9"/>
    <x v="20"/>
    <s v="A10"/>
  </r>
  <r>
    <s v="United Lincolnshire Hospitals NHS Trust"/>
    <s v="RWD"/>
    <x v="10"/>
    <s v="A02"/>
  </r>
  <r>
    <s v="University College London Hospitals NHS Foundation Trust"/>
    <s v="RRV"/>
    <x v="19"/>
    <s v="A08a"/>
  </r>
  <r>
    <s v="University Hospital Southampton NHS Foundation Trust"/>
    <s v="RHM"/>
    <x v="14"/>
    <s v="A16"/>
  </r>
  <r>
    <s v="University Hospitals Birmingham NHS Foundation Trust"/>
    <s v="RRK"/>
    <x v="15"/>
    <s v="A18"/>
  </r>
  <r>
    <s v="University Hospitals Bristol and Weston NHS Foundation Trust"/>
    <s v="RA7"/>
    <x v="16"/>
    <s v="A11"/>
  </r>
  <r>
    <s v="University Hospitals Coventry and Warwickshire NHS Trust"/>
    <s v="RKB"/>
    <x v="15"/>
    <s v="A18"/>
  </r>
  <r>
    <s v="University Hospitals Dorset NHS Foundation Trust"/>
    <s v="R0D"/>
    <x v="14"/>
    <s v="A16"/>
  </r>
  <r>
    <s v="University Hospitals of Derby and Burton NHS Foundation Trust"/>
    <s v="RTG"/>
    <x v="10"/>
    <s v="A02"/>
  </r>
  <r>
    <s v="University Hospitals of Leicester NHS Trust"/>
    <s v="RWE"/>
    <x v="10"/>
    <s v="A02"/>
  </r>
  <r>
    <s v="University Hospitals of Morecambe Bay NHS Foundation Trust"/>
    <s v="RTX"/>
    <x v="5"/>
    <s v="A07"/>
  </r>
  <r>
    <s v="University Hospitals of North Midlands NHS Trust"/>
    <s v="RJE"/>
    <x v="15"/>
    <s v="A18"/>
  </r>
  <r>
    <s v="Walsall Healthcare NHS Trust"/>
    <s v="RBK"/>
    <x v="15"/>
    <s v="A18"/>
  </r>
  <r>
    <s v="Warrington and Halton Hospitals NHS Foundation Trust"/>
    <s v="RWW"/>
    <x v="11"/>
    <s v="A01"/>
  </r>
  <r>
    <s v="West Hertfordshire Hospitals NHS Trust"/>
    <s v="RWG"/>
    <x v="4"/>
    <s v="A03b"/>
  </r>
  <r>
    <s v="West Suffolk NHS Foundation Trust"/>
    <s v="RGR"/>
    <x v="8"/>
    <s v="A03a"/>
  </r>
  <r>
    <s v="Western Sussex Hospitals NHS Foundation Trust"/>
    <s v="RYR"/>
    <x v="1"/>
    <s v="A14"/>
  </r>
  <r>
    <s v="Wirral University Teaching Hospital NHS Foundation Trust"/>
    <s v="RBL"/>
    <x v="11"/>
    <s v="A01"/>
  </r>
  <r>
    <s v="Worcestershire Acute Hospitals NHS Trust"/>
    <s v="RWP"/>
    <x v="15"/>
    <s v="A18"/>
  </r>
  <r>
    <s v="Wrightington, Wigan and Leigh NHS Foundation Trust"/>
    <s v="RRF"/>
    <x v="6"/>
    <s v="A04"/>
  </r>
  <r>
    <s v="Wye Valley NHS Trust"/>
    <s v="RLQ"/>
    <x v="15"/>
    <s v="A18"/>
  </r>
  <r>
    <s v="Yeovil District Hospital NHS Foundation Trust"/>
    <s v="RA4"/>
    <x v="16"/>
    <s v="A11"/>
  </r>
  <r>
    <s v="York Teaching Hospital NHS Foundation Trust"/>
    <s v="RCB"/>
    <x v="18"/>
    <s v="A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ancer Alliance">
  <location ref="F60:G82" firstHeaderRow="1" firstDataRow="1" firstDataCol="1"/>
  <pivotFields count="4">
    <pivotField dataField="1" showAll="0"/>
    <pivotField showAll="0"/>
    <pivotField axis="axisRow" showAll="0">
      <items count="22">
        <item x="11"/>
        <item x="10"/>
        <item n="East of England" x="8"/>
        <item x="4"/>
        <item x="6"/>
        <item x="18"/>
        <item x="13"/>
        <item x="5"/>
        <item x="19"/>
        <item x="2"/>
        <item x="12"/>
        <item x="20"/>
        <item n="RM Partners" x="9"/>
        <item x="16"/>
        <item x="17"/>
        <item x="3"/>
        <item x="1"/>
        <item x="7"/>
        <item x="14"/>
        <item x="15"/>
        <item x="0"/>
        <item t="default"/>
      </items>
    </pivotField>
    <pivotField showAll="0"/>
  </pivotFields>
  <rowFields count="1">
    <field x="2"/>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Count of trust_name" fld="0" subtotal="count" baseField="0" baseItem="0"/>
  </dataFields>
  <formats count="10">
    <format dxfId="28">
      <pivotArea collapsedLevelsAreSubtotals="1" fieldPosition="0">
        <references count="1">
          <reference field="2" count="1">
            <x v="19"/>
          </reference>
        </references>
      </pivotArea>
    </format>
    <format dxfId="27">
      <pivotArea dataOnly="0" labelOnly="1" fieldPosition="0">
        <references count="1">
          <reference field="2" count="1">
            <x v="19"/>
          </reference>
        </references>
      </pivotArea>
    </format>
    <format dxfId="26">
      <pivotArea type="all" dataOnly="0" outline="0" fieldPosition="0"/>
    </format>
    <format dxfId="25">
      <pivotArea outline="0" collapsedLevelsAreSubtotals="1" fieldPosition="0"/>
    </format>
    <format dxfId="24">
      <pivotArea field="2" type="button" dataOnly="0" labelOnly="1" outline="0" axis="axisRow" fieldPosition="0"/>
    </format>
    <format dxfId="23">
      <pivotArea dataOnly="0" labelOnly="1" fieldPosition="0">
        <references count="1">
          <reference field="2" count="0"/>
        </references>
      </pivotArea>
    </format>
    <format dxfId="22">
      <pivotArea dataOnly="0" labelOnly="1" grandRow="1" outline="0" fieldPosition="0"/>
    </format>
    <format dxfId="21">
      <pivotArea dataOnly="0" labelOnly="1" outline="0" axis="axisValues" fieldPosition="0"/>
    </format>
    <format dxfId="20">
      <pivotArea collapsedLevelsAreSubtotals="1" fieldPosition="0">
        <references count="1">
          <reference field="2" count="0"/>
        </references>
      </pivotArea>
    </format>
    <format dxfId="19">
      <pivotArea dataOnly="0" labelOnly="1"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atcan.org.uk/" TargetMode="External"/><Relationship Id="rId2" Type="http://schemas.openxmlformats.org/officeDocument/2006/relationships/hyperlink" Target="http://www.nogca.org.uk/" TargetMode="External"/><Relationship Id="rId1" Type="http://schemas.openxmlformats.org/officeDocument/2006/relationships/hyperlink" Target="https://digital.nhs.uk/ndrs/data/data-sets/rcrd"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nogca.org.uk/resources/nogca-scoping-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nogca.org.uk/content/uploads/2024/01/NOGCA-Key-COSD-Data-Items-V1.0-December-2023.pdf" TargetMode="External"/><Relationship Id="rId1" Type="http://schemas.openxmlformats.org/officeDocument/2006/relationships/hyperlink" Target="https://www.natcan.org.uk/faqs/faqs-for-professional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C0925-EA55-4C35-9A85-4F196A24CF7A}">
  <dimension ref="B9:D24"/>
  <sheetViews>
    <sheetView tabSelected="1" zoomScaleNormal="100" workbookViewId="0"/>
  </sheetViews>
  <sheetFormatPr defaultColWidth="8.85546875" defaultRowHeight="15" x14ac:dyDescent="0.25"/>
  <cols>
    <col min="1" max="1" width="8.85546875" style="72"/>
    <col min="2" max="2" width="23.85546875" style="72" customWidth="1"/>
    <col min="3" max="3" width="4.5703125" style="72" customWidth="1"/>
    <col min="4" max="4" width="97.5703125" style="72" customWidth="1"/>
    <col min="5" max="16384" width="8.85546875" style="72"/>
  </cols>
  <sheetData>
    <row r="9" spans="2:4" x14ac:dyDescent="0.25">
      <c r="B9" s="156" t="s">
        <v>528</v>
      </c>
      <c r="C9" s="168" t="s">
        <v>529</v>
      </c>
      <c r="D9" s="168"/>
    </row>
    <row r="10" spans="2:4" x14ac:dyDescent="0.25">
      <c r="B10" s="156" t="s">
        <v>530</v>
      </c>
      <c r="C10" s="168" t="s">
        <v>549</v>
      </c>
      <c r="D10" s="168"/>
    </row>
    <row r="11" spans="2:4" x14ac:dyDescent="0.25">
      <c r="B11" s="156" t="s">
        <v>531</v>
      </c>
      <c r="C11" s="168" t="s">
        <v>554</v>
      </c>
      <c r="D11" s="168"/>
    </row>
    <row r="12" spans="2:4" x14ac:dyDescent="0.25">
      <c r="B12" s="156" t="s">
        <v>532</v>
      </c>
      <c r="C12" s="168" t="s">
        <v>533</v>
      </c>
      <c r="D12" s="168"/>
    </row>
    <row r="13" spans="2:4" x14ac:dyDescent="0.25">
      <c r="B13" s="156" t="s">
        <v>534</v>
      </c>
      <c r="C13" s="168" t="s">
        <v>555</v>
      </c>
      <c r="D13" s="168"/>
    </row>
    <row r="14" spans="2:4" x14ac:dyDescent="0.25">
      <c r="B14" s="156" t="s">
        <v>535</v>
      </c>
      <c r="C14" s="169" t="s">
        <v>556</v>
      </c>
      <c r="D14" s="169"/>
    </row>
    <row r="15" spans="2:4" x14ac:dyDescent="0.25">
      <c r="B15" s="163" t="s">
        <v>536</v>
      </c>
      <c r="C15" s="154" t="s">
        <v>537</v>
      </c>
      <c r="D15" s="153" t="s">
        <v>538</v>
      </c>
    </row>
    <row r="16" spans="2:4" x14ac:dyDescent="0.25">
      <c r="B16" s="164"/>
      <c r="C16" s="154" t="s">
        <v>539</v>
      </c>
      <c r="D16" s="153" t="s">
        <v>540</v>
      </c>
    </row>
    <row r="17" spans="2:4" x14ac:dyDescent="0.25">
      <c r="B17" s="164"/>
      <c r="C17" s="154" t="s">
        <v>537</v>
      </c>
      <c r="D17" s="153" t="s">
        <v>541</v>
      </c>
    </row>
    <row r="18" spans="2:4" x14ac:dyDescent="0.25">
      <c r="B18" s="164"/>
      <c r="C18" s="154" t="s">
        <v>537</v>
      </c>
      <c r="D18" s="153" t="s">
        <v>542</v>
      </c>
    </row>
    <row r="19" spans="2:4" x14ac:dyDescent="0.25">
      <c r="B19" s="164"/>
      <c r="C19" s="154" t="s">
        <v>537</v>
      </c>
      <c r="D19" s="153" t="s">
        <v>543</v>
      </c>
    </row>
    <row r="20" spans="2:4" x14ac:dyDescent="0.25">
      <c r="B20" s="164"/>
      <c r="C20" s="154" t="s">
        <v>537</v>
      </c>
      <c r="D20" s="153" t="s">
        <v>544</v>
      </c>
    </row>
    <row r="21" spans="2:4" x14ac:dyDescent="0.25">
      <c r="B21" s="165"/>
      <c r="C21" s="154" t="s">
        <v>537</v>
      </c>
      <c r="D21" s="153" t="s">
        <v>545</v>
      </c>
    </row>
    <row r="22" spans="2:4" ht="29.45" customHeight="1" x14ac:dyDescent="0.25">
      <c r="B22" s="157" t="s">
        <v>546</v>
      </c>
      <c r="C22" s="166" t="s">
        <v>551</v>
      </c>
      <c r="D22" s="166"/>
    </row>
    <row r="23" spans="2:4" x14ac:dyDescent="0.25">
      <c r="B23" s="156" t="s">
        <v>547</v>
      </c>
      <c r="C23" s="167" t="s">
        <v>550</v>
      </c>
      <c r="D23" s="167"/>
    </row>
    <row r="24" spans="2:4" x14ac:dyDescent="0.25">
      <c r="B24" s="72" t="s">
        <v>548</v>
      </c>
    </row>
  </sheetData>
  <mergeCells count="9">
    <mergeCell ref="B15:B21"/>
    <mergeCell ref="C22:D22"/>
    <mergeCell ref="C23:D23"/>
    <mergeCell ref="C9:D9"/>
    <mergeCell ref="C10:D10"/>
    <mergeCell ref="C11:D11"/>
    <mergeCell ref="C12:D12"/>
    <mergeCell ref="C13:D13"/>
    <mergeCell ref="C14:D14"/>
  </mergeCells>
  <pageMargins left="0.7" right="0.7" top="0.75" bottom="0.75" header="0.3" footer="0.3"/>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7:D28"/>
  <sheetViews>
    <sheetView showGridLines="0" zoomScaleNormal="100" workbookViewId="0">
      <pane ySplit="6" topLeftCell="A7" activePane="bottomLeft" state="frozen"/>
      <selection activeCell="D28" sqref="D28"/>
      <selection pane="bottomLeft" activeCell="A7" sqref="A7"/>
    </sheetView>
  </sheetViews>
  <sheetFormatPr defaultRowHeight="15" x14ac:dyDescent="0.25"/>
  <cols>
    <col min="3" max="3" width="108.85546875" customWidth="1"/>
    <col min="4" max="4" width="18.140625" customWidth="1"/>
  </cols>
  <sheetData>
    <row r="7" spans="3:3" x14ac:dyDescent="0.25">
      <c r="C7" s="5"/>
    </row>
    <row r="8" spans="3:3" ht="45" x14ac:dyDescent="0.25">
      <c r="C8" s="155" t="s">
        <v>552</v>
      </c>
    </row>
    <row r="10" spans="3:3" ht="45" x14ac:dyDescent="0.25">
      <c r="C10" s="155" t="s">
        <v>553</v>
      </c>
    </row>
    <row r="11" spans="3:3" x14ac:dyDescent="0.25">
      <c r="C11" s="5"/>
    </row>
    <row r="12" spans="3:3" ht="107.25" customHeight="1" x14ac:dyDescent="0.25">
      <c r="C12" s="135" t="s">
        <v>557</v>
      </c>
    </row>
    <row r="13" spans="3:3" ht="14.45" customHeight="1" x14ac:dyDescent="0.25">
      <c r="C13" s="21"/>
    </row>
    <row r="14" spans="3:3" ht="73.900000000000006" customHeight="1" x14ac:dyDescent="0.25">
      <c r="C14" s="155" t="s">
        <v>572</v>
      </c>
    </row>
    <row r="15" spans="3:3" x14ac:dyDescent="0.25">
      <c r="C15" s="21"/>
    </row>
    <row r="16" spans="3:3" ht="91.5" customHeight="1" x14ac:dyDescent="0.25">
      <c r="C16" s="135" t="s">
        <v>501</v>
      </c>
    </row>
    <row r="17" spans="2:4" x14ac:dyDescent="0.25">
      <c r="C17" s="21"/>
    </row>
    <row r="18" spans="2:4" x14ac:dyDescent="0.25">
      <c r="C18" s="170" t="s">
        <v>576</v>
      </c>
    </row>
    <row r="19" spans="2:4" ht="161.44999999999999" customHeight="1" x14ac:dyDescent="0.25">
      <c r="C19" s="170"/>
      <c r="D19" s="140"/>
    </row>
    <row r="21" spans="2:4" ht="45" x14ac:dyDescent="0.25">
      <c r="B21" s="67"/>
      <c r="C21" s="135" t="s">
        <v>575</v>
      </c>
    </row>
    <row r="22" spans="2:4" x14ac:dyDescent="0.25">
      <c r="C22" s="71"/>
    </row>
    <row r="23" spans="2:4" x14ac:dyDescent="0.25">
      <c r="C23" s="1" t="s">
        <v>440</v>
      </c>
    </row>
    <row r="24" spans="2:4" x14ac:dyDescent="0.25">
      <c r="C24" s="133" t="s">
        <v>441</v>
      </c>
    </row>
    <row r="25" spans="2:4" x14ac:dyDescent="0.25">
      <c r="C25" s="131" t="s">
        <v>499</v>
      </c>
    </row>
    <row r="26" spans="2:4" x14ac:dyDescent="0.25">
      <c r="C26" s="131" t="s">
        <v>498</v>
      </c>
    </row>
    <row r="27" spans="2:4" x14ac:dyDescent="0.25">
      <c r="C27" s="131" t="s">
        <v>500</v>
      </c>
    </row>
    <row r="28" spans="2:4" x14ac:dyDescent="0.25">
      <c r="C28" s="134"/>
    </row>
  </sheetData>
  <mergeCells count="1">
    <mergeCell ref="C18:C19"/>
  </mergeCells>
  <hyperlinks>
    <hyperlink ref="C24" location="Explanations!A1" display="Explanations" xr:uid="{00000000-0004-0000-0000-000001000000}"/>
    <hyperlink ref="C18:C19" r:id="rId1" display="For this quarterly report, the NPaCA utilised data from the Rapid Cancer Registration Dataset (RCRD). This dataset is compiled mainly from COSD records, and is made available more quickly than the complete cancer registration dataset. However, the speed of production means that the range of data items is limited and several standard data items in the complete registration dataset are unavailable. It also does not have complete coverage of all patients diagnosed with pancreatic cancer in England during the reporting period. For more information regarding the RCRD, including the data dictionary, visit the RCRD webpage maintained by NHS England. The dataset was received by NATCAN in February 2024 and contained patient data submitted to NDRS by English NHS trusts for people diagnosed between 1st January 2018 and 31st October 2023. The period of 1st October 2022 to 30th September 2023 was selected for reporting data quality as it covers the most recent complete four quarters of data (Q4 2022 to Q3 2023). Results are reported over this annual time period, rather than quarterly, to avoid reporting based on small numbers on a quarterly basis at the trust level. The period of 1st October 2021 to 30th September 2023 was selected for the reporting of patient characteristics to avoid reporting based on small numbers at the trust level, particularly for categorical variables with multiple subgroup options." xr:uid="{00000000-0004-0000-0000-000003000000}"/>
    <hyperlink ref="C26" location="'Data quality dashboard'!A1" display="Data quality dashboard" xr:uid="{3312A4F3-0853-4628-8EA8-A07A039D55FF}"/>
    <hyperlink ref="C25" location="Acknowledgements!A1" display="Acknowledgements" xr:uid="{73BD8C0E-51A6-4647-AAFB-7442458B3E9B}"/>
    <hyperlink ref="C27" location="'Patient characteristics'!A1" display="Patient characteristics" xr:uid="{C411A03F-8CD3-4DD4-A0D4-B02816ED28CE}"/>
    <hyperlink ref="C8" r:id="rId2" display="The purpose of the National Oesophago-Gastric Cancer Audit (NOGCA) is to evaluate the patterns of care and outcomes for people with oesophageal or gastric cancer in England and Wales, and to support services to improve the quality of care. More details of the audit aims and scope can be found at NOGCA.org.uk. " xr:uid="{B0CAA07B-072F-403A-A05B-C8D2BA073D37}"/>
    <hyperlink ref="C10" r:id="rId3" display="NOGCA is part of the National Cancer Audit Collaborating Centre (NATCAN), the home of the ten national cancer audits in England and Wales. This national centre of excellence was established to strengthen cancer services by evaluating the process of diagnosis and treatment, and outcomes in multiple cancer sites. " xr:uid="{69209B56-D8C2-4F90-A9D9-C1976FF63DFE}"/>
    <hyperlink ref="C14" r:id="rId4" display="Audit cohort: The cohort was selected based on ICD-10 codes C15 (Malignant neoplasm of oesophagus) &amp; C16 (Malignant neoplasm of stomach), excluding diagnoses based on death certificate only. In future reports on performance indicators, further criteria will be used to define the cohort of people included in the audit; however, for the purposes of data quality reporting the overall cohort of oesophago-gastric diagnoses was used. Please refer to the NOGCA Scoping Document for more details on further criteria that will be applied to the audit cohort when analysing performance indicators." xr:uid="{444DE721-2F0C-42C8-98C5-CBEDE39E4146}"/>
  </hyperlinks>
  <pageMargins left="0.7" right="0.7" top="0.75" bottom="0.75" header="0.3" footer="0.3"/>
  <pageSetup paperSize="9" scale="68" orientation="portrait" r:id="rId5"/>
  <colBreaks count="1" manualBreakCount="1">
    <brk id="3" max="26" man="1"/>
  </col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D50"/>
  <sheetViews>
    <sheetView zoomScaleNormal="100" workbookViewId="0">
      <pane ySplit="6" topLeftCell="A7" activePane="bottomLeft" state="frozen"/>
      <selection activeCell="D28" sqref="D28"/>
      <selection pane="bottomLeft" activeCell="A7" sqref="A7"/>
    </sheetView>
  </sheetViews>
  <sheetFormatPr defaultColWidth="8.85546875" defaultRowHeight="15" x14ac:dyDescent="0.25"/>
  <cols>
    <col min="1" max="2" width="8.85546875" style="72"/>
    <col min="3" max="3" width="108.85546875" style="76" customWidth="1"/>
    <col min="4" max="16384" width="8.85546875" style="72"/>
  </cols>
  <sheetData>
    <row r="8" spans="3:4" ht="105" x14ac:dyDescent="0.25">
      <c r="C8" s="136" t="s">
        <v>558</v>
      </c>
    </row>
    <row r="9" spans="3:4" x14ac:dyDescent="0.25">
      <c r="C9" s="136"/>
    </row>
    <row r="10" spans="3:4" x14ac:dyDescent="0.25">
      <c r="C10" s="136" t="s">
        <v>525</v>
      </c>
    </row>
    <row r="11" spans="3:4" ht="78" customHeight="1" x14ac:dyDescent="0.25">
      <c r="C11" s="152" t="s">
        <v>526</v>
      </c>
    </row>
    <row r="12" spans="3:4" x14ac:dyDescent="0.25">
      <c r="C12" s="74"/>
    </row>
    <row r="13" spans="3:4" ht="105" x14ac:dyDescent="0.25">
      <c r="C13" s="136" t="s">
        <v>502</v>
      </c>
      <c r="D13" s="141"/>
    </row>
    <row r="14" spans="3:4" x14ac:dyDescent="0.25">
      <c r="C14" s="80"/>
    </row>
    <row r="15" spans="3:4" ht="105" x14ac:dyDescent="0.25">
      <c r="C15" s="160" t="s">
        <v>577</v>
      </c>
      <c r="D15" s="141"/>
    </row>
    <row r="16" spans="3:4" x14ac:dyDescent="0.25">
      <c r="C16" s="132"/>
    </row>
    <row r="17" spans="2:3" x14ac:dyDescent="0.25">
      <c r="C17" s="80" t="s">
        <v>496</v>
      </c>
    </row>
    <row r="18" spans="2:3" ht="30" x14ac:dyDescent="0.25">
      <c r="C18" s="76" t="s">
        <v>573</v>
      </c>
    </row>
    <row r="19" spans="2:3" x14ac:dyDescent="0.25">
      <c r="C19" s="79" t="s">
        <v>497</v>
      </c>
    </row>
    <row r="20" spans="2:3" x14ac:dyDescent="0.25">
      <c r="C20" s="74" t="s">
        <v>517</v>
      </c>
    </row>
    <row r="22" spans="2:3" x14ac:dyDescent="0.25">
      <c r="B22" s="75" t="s">
        <v>433</v>
      </c>
    </row>
    <row r="23" spans="2:3" ht="30" x14ac:dyDescent="0.25">
      <c r="C23" s="132" t="s">
        <v>503</v>
      </c>
    </row>
    <row r="25" spans="2:3" x14ac:dyDescent="0.25">
      <c r="B25" s="73"/>
      <c r="C25" s="76" t="s">
        <v>434</v>
      </c>
    </row>
    <row r="27" spans="2:3" ht="15.75" thickBot="1" x14ac:dyDescent="0.3">
      <c r="B27" s="77" t="s">
        <v>435</v>
      </c>
      <c r="C27" s="77" t="s">
        <v>436</v>
      </c>
    </row>
    <row r="28" spans="2:3" x14ac:dyDescent="0.25">
      <c r="B28" s="72" t="s">
        <v>447</v>
      </c>
      <c r="C28" s="72" t="s">
        <v>448</v>
      </c>
    </row>
    <row r="29" spans="2:3" x14ac:dyDescent="0.25">
      <c r="B29" s="72" t="s">
        <v>453</v>
      </c>
      <c r="C29" s="72" t="s">
        <v>452</v>
      </c>
    </row>
    <row r="30" spans="2:3" x14ac:dyDescent="0.25">
      <c r="B30" s="72" t="s">
        <v>444</v>
      </c>
      <c r="C30" s="72" t="s">
        <v>456</v>
      </c>
    </row>
    <row r="31" spans="2:3" x14ac:dyDescent="0.25">
      <c r="B31" s="72" t="s">
        <v>437</v>
      </c>
      <c r="C31" s="72" t="s">
        <v>438</v>
      </c>
    </row>
    <row r="32" spans="2:3" x14ac:dyDescent="0.25">
      <c r="B32" s="72" t="s">
        <v>442</v>
      </c>
      <c r="C32" s="72" t="s">
        <v>443</v>
      </c>
    </row>
    <row r="33" spans="2:3" x14ac:dyDescent="0.25">
      <c r="B33" s="72" t="s">
        <v>455</v>
      </c>
      <c r="C33" s="72" t="s">
        <v>454</v>
      </c>
    </row>
    <row r="34" spans="2:3" x14ac:dyDescent="0.25">
      <c r="B34" s="72" t="s">
        <v>445</v>
      </c>
      <c r="C34" s="72" t="s">
        <v>449</v>
      </c>
    </row>
    <row r="35" spans="2:3" x14ac:dyDescent="0.25">
      <c r="B35" s="72" t="s">
        <v>446</v>
      </c>
      <c r="C35" s="72" t="s">
        <v>450</v>
      </c>
    </row>
    <row r="36" spans="2:3" x14ac:dyDescent="0.25">
      <c r="B36" s="72" t="s">
        <v>504</v>
      </c>
      <c r="C36" s="72" t="s">
        <v>505</v>
      </c>
    </row>
    <row r="37" spans="2:3" ht="15.75" thickBot="1" x14ac:dyDescent="0.3">
      <c r="B37" s="78" t="s">
        <v>439</v>
      </c>
      <c r="C37" s="78" t="s">
        <v>451</v>
      </c>
    </row>
    <row r="40" spans="2:3" x14ac:dyDescent="0.25">
      <c r="C40" s="72"/>
    </row>
    <row r="42" spans="2:3" x14ac:dyDescent="0.25">
      <c r="C42" s="72"/>
    </row>
    <row r="44" spans="2:3" x14ac:dyDescent="0.25">
      <c r="C44" s="72"/>
    </row>
    <row r="45" spans="2:3" x14ac:dyDescent="0.25">
      <c r="C45"/>
    </row>
    <row r="50" spans="3:3" x14ac:dyDescent="0.25">
      <c r="C50" s="74"/>
    </row>
  </sheetData>
  <hyperlinks>
    <hyperlink ref="C19" r:id="rId1" display="Refer to FAQ11 for current regional NDRS contacts." xr:uid="{00000000-0004-0000-0100-000000000000}"/>
    <hyperlink ref="C20" r:id="rId2" xr:uid="{00000000-0004-0000-0100-000001000000}"/>
  </hyperlinks>
  <pageMargins left="0.7" right="0.7" top="0.75" bottom="0.75" header="0.3" footer="0.3"/>
  <pageSetup paperSize="9" scale="96" orientation="landscape" r:id="rId3"/>
  <rowBreaks count="1" manualBreakCount="1">
    <brk id="14" max="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C8:C18"/>
  <sheetViews>
    <sheetView showGridLines="0" zoomScaleNormal="100" workbookViewId="0">
      <pane ySplit="6" topLeftCell="A7" activePane="bottomLeft" state="frozen"/>
      <selection activeCell="D28" sqref="D28"/>
      <selection pane="bottomLeft" activeCell="A7" sqref="A7"/>
    </sheetView>
  </sheetViews>
  <sheetFormatPr defaultRowHeight="15" x14ac:dyDescent="0.25"/>
  <cols>
    <col min="3" max="3" width="112.5703125" customWidth="1"/>
  </cols>
  <sheetData>
    <row r="8" spans="3:3" ht="135.75" customHeight="1" x14ac:dyDescent="0.25">
      <c r="C8" s="142" t="s">
        <v>507</v>
      </c>
    </row>
    <row r="10" spans="3:3" ht="108" customHeight="1" x14ac:dyDescent="0.25">
      <c r="C10" s="21" t="s">
        <v>559</v>
      </c>
    </row>
    <row r="12" spans="3:3" ht="48" customHeight="1" x14ac:dyDescent="0.25">
      <c r="C12" s="21" t="s">
        <v>302</v>
      </c>
    </row>
    <row r="13" spans="3:3" x14ac:dyDescent="0.25">
      <c r="C13" s="21"/>
    </row>
    <row r="14" spans="3:3" ht="87" customHeight="1" x14ac:dyDescent="0.25">
      <c r="C14" s="21" t="s">
        <v>506</v>
      </c>
    </row>
    <row r="16" spans="3:3" ht="167.25" customHeight="1" x14ac:dyDescent="0.25">
      <c r="C16" s="21" t="s">
        <v>508</v>
      </c>
    </row>
    <row r="18" spans="3:3" ht="60" x14ac:dyDescent="0.25">
      <c r="C18" s="21" t="s">
        <v>432</v>
      </c>
    </row>
  </sheetData>
  <pageMargins left="0.7" right="0.7" top="0.75" bottom="0.75" header="0.3" footer="0.3"/>
  <pageSetup paperSize="9" scale="6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R116"/>
  <sheetViews>
    <sheetView showGridLines="0" zoomScale="75" zoomScaleNormal="75" workbookViewId="0">
      <selection activeCell="D9" sqref="D9:G9"/>
    </sheetView>
  </sheetViews>
  <sheetFormatPr defaultRowHeight="15" x14ac:dyDescent="0.25"/>
  <cols>
    <col min="1" max="1" width="3.85546875" customWidth="1"/>
    <col min="2" max="2" width="3" customWidth="1"/>
    <col min="3" max="3" width="3.5703125" customWidth="1"/>
    <col min="4" max="4" width="46.85546875" customWidth="1"/>
    <col min="5" max="5" width="20.42578125" customWidth="1"/>
    <col min="6" max="6" width="19.7109375" bestFit="1" customWidth="1"/>
    <col min="7" max="7" width="19" customWidth="1"/>
    <col min="8" max="8" width="21.140625" customWidth="1"/>
    <col min="9" max="9" width="7.5703125" customWidth="1"/>
    <col min="10" max="10" width="4" customWidth="1"/>
    <col min="11" max="11" width="50.140625" customWidth="1"/>
    <col min="12" max="12" width="17.42578125" bestFit="1" customWidth="1"/>
    <col min="13" max="13" width="16.5703125" customWidth="1"/>
    <col min="14" max="14" width="3.140625" customWidth="1"/>
    <col min="15" max="15" width="23.7109375" customWidth="1"/>
    <col min="16" max="16" width="19.28515625" bestFit="1" customWidth="1"/>
    <col min="17" max="17" width="18.140625" bestFit="1" customWidth="1"/>
    <col min="18" max="18" width="19.28515625" bestFit="1" customWidth="1"/>
  </cols>
  <sheetData>
    <row r="1" spans="3:18" ht="18" customHeight="1" x14ac:dyDescent="0.25"/>
    <row r="2" spans="3:18" ht="18" customHeight="1" x14ac:dyDescent="0.25"/>
    <row r="3" spans="3:18" ht="18" customHeight="1" x14ac:dyDescent="0.3">
      <c r="J3" s="81" t="s">
        <v>260</v>
      </c>
      <c r="K3" s="82"/>
      <c r="L3" s="82"/>
      <c r="M3" s="82"/>
      <c r="N3" s="82"/>
      <c r="O3" s="82"/>
    </row>
    <row r="4" spans="3:18" ht="18" customHeight="1" x14ac:dyDescent="0.3">
      <c r="J4" s="82"/>
      <c r="K4" s="172" t="str">
        <f ca="1">selected_dq_num_xc</f>
        <v>Number of people with a new diagnosis of oesophago-gastric cancer, with a recorded Basis of Diagnosis</v>
      </c>
      <c r="L4" s="172"/>
      <c r="M4" s="172"/>
      <c r="N4" s="172"/>
      <c r="O4" s="172"/>
    </row>
    <row r="5" spans="3:18" ht="18" customHeight="1" x14ac:dyDescent="0.3">
      <c r="J5" s="82"/>
      <c r="K5" s="172"/>
      <c r="L5" s="172"/>
      <c r="M5" s="172"/>
      <c r="N5" s="172"/>
      <c r="O5" s="172"/>
    </row>
    <row r="6" spans="3:18" ht="18" customHeight="1" x14ac:dyDescent="0.3">
      <c r="J6" s="81" t="s">
        <v>258</v>
      </c>
      <c r="K6" s="82"/>
      <c r="L6" s="82"/>
      <c r="M6" s="82"/>
      <c r="N6" s="82"/>
      <c r="O6" s="82"/>
    </row>
    <row r="7" spans="3:18" ht="18" customHeight="1" x14ac:dyDescent="0.3">
      <c r="C7" s="81" t="s">
        <v>296</v>
      </c>
      <c r="D7" s="82"/>
      <c r="E7" s="82"/>
      <c r="F7" s="82"/>
      <c r="G7" s="82"/>
      <c r="H7" s="82"/>
      <c r="I7" s="82"/>
      <c r="J7" s="82"/>
      <c r="K7" s="172" t="str">
        <f ca="1">selected_dq_denomdescr_xc</f>
        <v>Number of people with a new diagnosis of oesophago-gastric cancer</v>
      </c>
      <c r="L7" s="172"/>
      <c r="M7" s="172"/>
      <c r="N7" s="172"/>
      <c r="O7" s="172"/>
    </row>
    <row r="8" spans="3:18" ht="9" customHeight="1" thickBot="1" x14ac:dyDescent="0.35">
      <c r="C8" s="82"/>
      <c r="D8" s="82"/>
      <c r="E8" s="82"/>
      <c r="F8" s="83"/>
      <c r="G8" s="82"/>
      <c r="H8" s="82"/>
      <c r="I8" s="82"/>
      <c r="J8" s="82"/>
      <c r="K8" s="172"/>
      <c r="L8" s="172"/>
      <c r="M8" s="172"/>
      <c r="N8" s="172"/>
      <c r="O8" s="172"/>
      <c r="R8" s="21"/>
    </row>
    <row r="9" spans="3:18" ht="18" customHeight="1" thickBot="1" x14ac:dyDescent="0.35">
      <c r="C9" s="82"/>
      <c r="D9" s="182" t="s">
        <v>87</v>
      </c>
      <c r="E9" s="183"/>
      <c r="F9" s="183"/>
      <c r="G9" s="184"/>
      <c r="H9" s="82"/>
      <c r="I9" s="82"/>
      <c r="J9" s="81" t="s">
        <v>305</v>
      </c>
      <c r="K9" s="82"/>
      <c r="L9" s="82"/>
      <c r="M9" s="82"/>
      <c r="N9" s="82"/>
      <c r="O9" s="82"/>
      <c r="R9" s="21"/>
    </row>
    <row r="10" spans="3:18" ht="18" customHeight="1" x14ac:dyDescent="0.3">
      <c r="C10" s="82"/>
      <c r="D10" s="82"/>
      <c r="E10" s="82"/>
      <c r="F10" s="82"/>
      <c r="G10" s="82"/>
      <c r="H10" s="82"/>
      <c r="I10" s="82"/>
      <c r="J10" s="82"/>
      <c r="K10" s="105" t="str">
        <f ca="1">selected_dq_datasource_xc</f>
        <v>Rapid Cancer Registration Data</v>
      </c>
      <c r="L10" s="106"/>
      <c r="M10" s="106"/>
      <c r="N10" s="82"/>
      <c r="O10" s="82"/>
      <c r="R10" s="21"/>
    </row>
    <row r="11" spans="3:18" ht="18" customHeight="1" x14ac:dyDescent="0.3">
      <c r="C11" s="84" t="str">
        <f ca="1">"This selected Trust is within the "&amp;selected_trust_xc_ca_name&amp;" Cancer Alliance."</f>
        <v>This selected Trust is within the West Yorkshire and Harrogate Cancer Alliance.</v>
      </c>
      <c r="D11" s="82"/>
      <c r="E11" s="82"/>
      <c r="F11" s="82"/>
      <c r="G11" s="82"/>
      <c r="H11" s="82"/>
      <c r="I11" s="82"/>
      <c r="J11" s="82"/>
      <c r="K11" s="107"/>
      <c r="L11" s="107"/>
      <c r="M11" s="107"/>
      <c r="N11" s="82"/>
      <c r="O11" s="82"/>
      <c r="R11" s="21"/>
    </row>
    <row r="12" spans="3:18" ht="18" customHeight="1" x14ac:dyDescent="0.3">
      <c r="C12" s="82"/>
      <c r="D12" s="82"/>
      <c r="E12" s="82"/>
      <c r="F12" s="82"/>
      <c r="G12" s="82"/>
      <c r="H12" s="82"/>
      <c r="I12" s="82"/>
      <c r="J12" s="108" t="s">
        <v>306</v>
      </c>
      <c r="K12" s="82"/>
      <c r="L12" s="106"/>
      <c r="M12" s="106"/>
      <c r="N12" s="82"/>
      <c r="O12" s="82"/>
      <c r="R12" s="21"/>
    </row>
    <row r="13" spans="3:18" ht="18" customHeight="1" x14ac:dyDescent="0.3">
      <c r="C13" s="81" t="s">
        <v>339</v>
      </c>
      <c r="D13" s="82"/>
      <c r="E13" s="82"/>
      <c r="F13" s="83"/>
      <c r="G13" s="82"/>
      <c r="H13" s="82"/>
      <c r="I13" s="82"/>
      <c r="J13" s="82"/>
      <c r="K13" s="109" t="str">
        <f ca="1">selected_dq_datavar_xc</f>
        <v>basisofdiagnosis</v>
      </c>
      <c r="L13" s="82"/>
      <c r="M13" s="82"/>
      <c r="N13" s="82"/>
      <c r="O13" s="82"/>
      <c r="R13" s="21"/>
    </row>
    <row r="14" spans="3:18" ht="9" customHeight="1" thickBot="1" x14ac:dyDescent="0.35">
      <c r="C14" s="82"/>
      <c r="D14" s="82"/>
      <c r="E14" s="82"/>
      <c r="F14" s="83"/>
      <c r="G14" s="82"/>
      <c r="H14" s="82"/>
      <c r="I14" s="82"/>
      <c r="J14" s="82"/>
      <c r="K14" s="110"/>
      <c r="L14" s="82"/>
      <c r="M14" s="82"/>
      <c r="N14" s="82"/>
      <c r="O14" s="82"/>
    </row>
    <row r="15" spans="3:18" ht="18" customHeight="1" thickBot="1" x14ac:dyDescent="0.35">
      <c r="C15" s="82"/>
      <c r="D15" s="182" t="s">
        <v>282</v>
      </c>
      <c r="E15" s="183"/>
      <c r="F15" s="183"/>
      <c r="G15" s="184"/>
      <c r="H15" s="82"/>
      <c r="I15" s="82"/>
      <c r="J15" s="111" t="s">
        <v>340</v>
      </c>
      <c r="K15" s="82"/>
      <c r="L15" s="82"/>
      <c r="M15" s="82"/>
      <c r="N15" s="82"/>
      <c r="O15" s="82"/>
    </row>
    <row r="16" spans="3:18" ht="18" customHeight="1" x14ac:dyDescent="0.3">
      <c r="C16" s="82"/>
      <c r="D16" s="82"/>
      <c r="E16" s="82"/>
      <c r="F16" s="83"/>
      <c r="G16" s="82"/>
      <c r="H16" s="82"/>
      <c r="I16" s="82"/>
      <c r="J16" s="82"/>
      <c r="K16" s="112">
        <f ca="1">selected_dq_target_xc</f>
        <v>0.9</v>
      </c>
      <c r="L16" s="82"/>
      <c r="M16" s="82"/>
      <c r="N16" s="82"/>
      <c r="O16" s="82"/>
    </row>
    <row r="17" spans="3:15" ht="18" customHeight="1" x14ac:dyDescent="0.3">
      <c r="C17" s="178" t="s">
        <v>574</v>
      </c>
      <c r="D17" s="178"/>
      <c r="E17" s="178"/>
      <c r="F17" s="178"/>
      <c r="G17" s="178"/>
      <c r="H17" s="82"/>
      <c r="I17" s="82"/>
      <c r="J17" s="82"/>
      <c r="K17" s="82"/>
      <c r="L17" s="82"/>
      <c r="M17" s="82"/>
      <c r="N17" s="82"/>
      <c r="O17" s="82"/>
    </row>
    <row r="18" spans="3:15" ht="18" customHeight="1" x14ac:dyDescent="0.3">
      <c r="C18" s="178"/>
      <c r="D18" s="178"/>
      <c r="E18" s="178"/>
      <c r="F18" s="178"/>
      <c r="G18" s="178"/>
      <c r="H18" s="82"/>
      <c r="I18" s="82"/>
      <c r="J18" s="81" t="s">
        <v>325</v>
      </c>
      <c r="K18" s="82"/>
      <c r="L18" s="82"/>
      <c r="M18" s="82"/>
      <c r="N18" s="82"/>
      <c r="O18" s="82"/>
    </row>
    <row r="19" spans="3:15" ht="18" customHeight="1" x14ac:dyDescent="0.3">
      <c r="C19" s="82"/>
      <c r="D19" s="82"/>
      <c r="E19" s="82"/>
      <c r="F19" s="83"/>
      <c r="G19" s="82"/>
      <c r="H19" s="82"/>
      <c r="I19" s="82"/>
      <c r="J19" s="82"/>
      <c r="K19" s="109" t="str">
        <f ca="1">selected_dq_time_xc</f>
        <v>1 April 2023 to 31 March 2024</v>
      </c>
      <c r="L19" s="82"/>
      <c r="M19" s="82"/>
      <c r="N19" s="82"/>
      <c r="O19" s="82"/>
    </row>
    <row r="20" spans="3:15" ht="18" customHeight="1" x14ac:dyDescent="0.3">
      <c r="C20" s="82"/>
      <c r="D20" s="82"/>
      <c r="E20" s="82"/>
      <c r="F20" s="83"/>
      <c r="G20" s="82"/>
      <c r="H20" s="82"/>
      <c r="I20" s="82"/>
      <c r="J20" s="82"/>
      <c r="K20" s="82"/>
      <c r="L20" s="82"/>
      <c r="M20" s="82"/>
      <c r="N20" s="82"/>
      <c r="O20" s="82"/>
    </row>
    <row r="21" spans="3:15" ht="18" customHeight="1" x14ac:dyDescent="0.3">
      <c r="C21" s="177" t="str">
        <f>"Table 1: "&amp;selected_dq_descr_xc&amp;" between "&amp;start_date_england&amp;" and "&amp;end_date_england</f>
        <v>Table 1: Data completeness for Basis of Diagnosis between 1 April 2023 and 31 March 2024</v>
      </c>
      <c r="D21" s="177"/>
      <c r="E21" s="177"/>
      <c r="F21" s="177"/>
      <c r="G21" s="177"/>
      <c r="H21" s="177"/>
      <c r="I21" s="82"/>
      <c r="J21" s="177" t="str">
        <f>"Figure 1: "&amp;D15&amp;" between "&amp;start_date_england&amp;" and "&amp;end_date_england</f>
        <v>Figure 1: Data completeness for Basis of Diagnosis between 1 April 2023 and 31 March 2024</v>
      </c>
      <c r="K21" s="177"/>
      <c r="L21" s="177"/>
      <c r="M21" s="177"/>
      <c r="N21" s="177"/>
      <c r="O21" s="177"/>
    </row>
    <row r="22" spans="3:15" ht="18" customHeight="1" x14ac:dyDescent="0.3">
      <c r="C22" s="177"/>
      <c r="D22" s="177"/>
      <c r="E22" s="177"/>
      <c r="F22" s="177"/>
      <c r="G22" s="177"/>
      <c r="H22" s="177"/>
      <c r="I22" s="82"/>
      <c r="J22" s="177"/>
      <c r="K22" s="177"/>
      <c r="L22" s="177"/>
      <c r="M22" s="177"/>
      <c r="N22" s="177"/>
      <c r="O22" s="177"/>
    </row>
    <row r="23" spans="3:15" ht="18" customHeight="1" x14ac:dyDescent="0.3">
      <c r="C23" s="82"/>
      <c r="D23" s="85"/>
      <c r="E23" s="86"/>
      <c r="F23" s="173" t="s">
        <v>266</v>
      </c>
      <c r="G23" s="187" t="s">
        <v>342</v>
      </c>
      <c r="H23" s="179" t="str">
        <f>"Rank (nationally, "&amp;n_trusts&amp;" trusts/"&amp;n_ca&amp;" cancer alliances)"</f>
        <v>Rank (nationally, 120 trusts/20 cancer alliances)</v>
      </c>
      <c r="I23" s="82"/>
    </row>
    <row r="24" spans="3:15" ht="18" customHeight="1" x14ac:dyDescent="0.3">
      <c r="C24" s="82"/>
      <c r="D24" s="87"/>
      <c r="E24" s="82"/>
      <c r="F24" s="186"/>
      <c r="G24" s="177"/>
      <c r="H24" s="181"/>
      <c r="I24" s="82"/>
    </row>
    <row r="25" spans="3:15" ht="18" customHeight="1" x14ac:dyDescent="0.3">
      <c r="C25" s="82"/>
      <c r="D25" s="88"/>
      <c r="E25" s="89"/>
      <c r="F25" s="174"/>
      <c r="G25" s="99" t="str">
        <f ca="1">IF(K16="N/A","","Target (%): "&amp;$K$16*100)</f>
        <v>Target (%): 90</v>
      </c>
      <c r="H25" s="180"/>
      <c r="I25" s="82"/>
    </row>
    <row r="26" spans="3:15" ht="18" customHeight="1" x14ac:dyDescent="0.3">
      <c r="C26" s="82"/>
      <c r="D26" s="91" t="str">
        <f>selected_trust_xc</f>
        <v>Airedale NHS Foundation Trust</v>
      </c>
      <c r="E26" s="82"/>
      <c r="F26" s="92">
        <f ca="1">INDEX(INDIRECT(trust_dq_table),MATCH(selected_trust_xc,INDIRECT(trust_dq_rows),0),MATCH(selected_dq_denom_xc,INDIRECT(trust_dq_cols),0))</f>
        <v>46</v>
      </c>
      <c r="G26" s="93">
        <f ca="1">INDEX(INDIRECT(trust_dq_table),MATCH(selected_trust_xc,INDIRECT(trust_dq_rows),0),MATCH(selected_dq_name_xc,INDIRECT(trust_dq_cols),0))</f>
        <v>1</v>
      </c>
      <c r="H26" s="94">
        <f ca="1">INDEX(INDIRECT(trust_dq_table),MATCH(selected_trust_xc,INDIRECT(trust_dq_rows),0),MATCH(trust_data_quality!$O$1,INDIRECT(trust_dq_cols),0))</f>
        <v>1</v>
      </c>
      <c r="I26" s="82"/>
    </row>
    <row r="27" spans="3:15" ht="18" customHeight="1" x14ac:dyDescent="0.3">
      <c r="C27" s="82"/>
      <c r="D27" s="91" t="str">
        <f ca="1">selected_trust_xc_ca_name&amp;" Cancer Alliance"</f>
        <v>West Yorkshire and Harrogate Cancer Alliance</v>
      </c>
      <c r="E27" s="82"/>
      <c r="F27" s="92">
        <f ca="1">INDEX(INDIRECT(alliance_dq_table),MATCH(selected_trust_xc_ca_name,INDIRECT(alliance_dq_rows),0),MATCH(selected_dq_denom_xc,INDIRECT(alliance_dq_cols),0))</f>
        <v>567</v>
      </c>
      <c r="G27" s="93">
        <f ca="1">INDEX(INDIRECT(alliance_dq_table),MATCH(selected_trust_xc_ca_name,INDIRECT(alliance_dq_rows),0),MATCH(selected_dq_name_xc,INDIRECT(alliance_dq_cols),0))</f>
        <v>0.95590829849243164</v>
      </c>
      <c r="H27" s="94">
        <f ca="1">INDEX(INDIRECT(alliance_dq_table),MATCH(selected_trust_xc_ca_name,INDIRECT(alliance_dq_rows),0),MATCH(alliance_data_quality!$M$1,INDIRECT(alliance_dq_cols),0))</f>
        <v>5</v>
      </c>
      <c r="I27" s="82"/>
    </row>
    <row r="28" spans="3:15" ht="18" customHeight="1" x14ac:dyDescent="0.3">
      <c r="C28" s="82"/>
      <c r="D28" s="95" t="s">
        <v>262</v>
      </c>
      <c r="E28" s="89"/>
      <c r="F28" s="96">
        <f ca="1">INDEX(table_national_dq,2,MATCH(selected_dq_denom_xc,INDIRECT(national_dq_cols),0))</f>
        <v>12173</v>
      </c>
      <c r="G28" s="97">
        <f ca="1">INDEX(table_national_dq,2,MATCH(selected_dq_name_xc,INDIRECT(national_dq_cols),0))</f>
        <v>0.9141542911529541</v>
      </c>
      <c r="H28" s="98" t="s">
        <v>400</v>
      </c>
      <c r="I28" s="82"/>
    </row>
    <row r="29" spans="3:15" ht="18" customHeight="1" x14ac:dyDescent="0.3">
      <c r="C29" s="82"/>
      <c r="D29" s="82" t="s">
        <v>493</v>
      </c>
      <c r="E29" s="82"/>
      <c r="F29" s="82"/>
      <c r="G29" s="82"/>
      <c r="H29" s="82"/>
      <c r="I29" s="82"/>
    </row>
    <row r="30" spans="3:15" ht="18" customHeight="1" x14ac:dyDescent="0.3">
      <c r="C30" s="82"/>
      <c r="D30" s="82"/>
      <c r="E30" s="82"/>
      <c r="F30" s="82"/>
      <c r="G30" s="82"/>
      <c r="H30" s="82"/>
      <c r="I30" s="82"/>
    </row>
    <row r="31" spans="3:15" ht="18" customHeight="1" x14ac:dyDescent="0.3">
      <c r="C31" s="185" t="str">
        <f ca="1">"Table 2: "&amp;selected_dq_descr_xc&amp;" at NHS Trusts within the "&amp;selected_trust_xc_ca_name&amp;" Cancer Alliance"&amp;" between "&amp;start_date_england&amp;" and "&amp;end_date_england</f>
        <v>Table 2: Data completeness for Basis of Diagnosis at NHS Trusts within the West Yorkshire and Harrogate Cancer Alliance between 1 April 2023 and 31 March 2024</v>
      </c>
      <c r="D31" s="185"/>
      <c r="E31" s="185"/>
      <c r="F31" s="185"/>
      <c r="G31" s="185"/>
      <c r="H31" s="185"/>
      <c r="I31" s="82"/>
    </row>
    <row r="32" spans="3:15" ht="18" customHeight="1" x14ac:dyDescent="0.3">
      <c r="C32" s="185"/>
      <c r="D32" s="185"/>
      <c r="E32" s="185"/>
      <c r="F32" s="185"/>
      <c r="G32" s="185"/>
      <c r="H32" s="185"/>
      <c r="I32" s="82"/>
    </row>
    <row r="33" spans="3:9" ht="18" customHeight="1" x14ac:dyDescent="0.3">
      <c r="C33" s="82"/>
      <c r="D33" s="81"/>
      <c r="E33" s="82"/>
      <c r="F33" s="82"/>
      <c r="G33" s="82"/>
      <c r="H33" s="82"/>
      <c r="I33" s="82"/>
    </row>
    <row r="34" spans="3:9" ht="36" customHeight="1" x14ac:dyDescent="0.3">
      <c r="C34" s="82"/>
      <c r="D34" s="175" t="s">
        <v>253</v>
      </c>
      <c r="E34" s="86"/>
      <c r="F34" s="173" t="s">
        <v>266</v>
      </c>
      <c r="G34" s="113" t="s">
        <v>342</v>
      </c>
      <c r="H34" s="179" t="str">
        <f>"Rank (nationally, "&amp;n_trusts&amp;" trusts)"</f>
        <v>Rank (nationally, 120 trusts)</v>
      </c>
      <c r="I34" s="82"/>
    </row>
    <row r="35" spans="3:9" ht="18" hidden="1" customHeight="1" x14ac:dyDescent="0.3">
      <c r="C35" s="82"/>
      <c r="D35" s="176"/>
      <c r="E35" s="89"/>
      <c r="F35" s="174"/>
      <c r="G35" s="99" t="str">
        <f ca="1">IF(K16="N/A","","Target (%): "&amp;$K$16*100)</f>
        <v>Target (%): 90</v>
      </c>
      <c r="H35" s="180"/>
      <c r="I35" s="82"/>
    </row>
    <row r="36" spans="3:9" ht="18" customHeight="1" x14ac:dyDescent="0.3">
      <c r="C36" s="82"/>
      <c r="D36" s="100" t="str" cm="1">
        <f t="array" aca="1" ref="D36" ca="1">IF(ROWS($D$35:D35)&lt;=n_trusts_in_CA, INDEX(trust_data_quality!$A$2:$A$121,_xlfn.AGGREGATE(15,3,(trust_data_quality!$C$2:$C$121=selected_trust_xc_ca_name)/(trust_data_quality!$C$2:$C$121=selected_trust_xc_ca_name)*(ROW(trust_data_quality!$C$2:$C$121)-ROW(trust_data_quality!$C$1)),ROWS($D$35:D35))),"")</f>
        <v>Bradford Teaching Hospitals NHS Foundation Trust</v>
      </c>
      <c r="E36" s="82"/>
      <c r="F36" s="92" cm="1">
        <f t="array" aca="1" ref="F36" ca="1">_xlfn.IFS(AND(ROWS($F$35:F35)&lt;=n_trusts_in_CA,selected_dq_denom_xc="n"), INDEX(trust_data_quality!$E$2:$E$121,_xlfn.AGGREGATE(15,3,(trust_data_quality!$C$2:$C$121=selected_trust_xc_ca_name)/(trust_data_quality!$C$2:$C$121=selected_trust_xc_ca_name)*(ROW(trust_data_quality!$C$2:$C$121)-ROW(trust_data_quality!$C$1)),ROWS($F$35:F35))), AND(ROWS($F$35:F35)&lt;=n_trusts_in_CA,selected_dq_denom_xc="n2"), INDEX(trust_data_quality!#REF!,_xlfn.AGGREGATE(15,3,(trust_data_quality!$C$2:$C$121=selected_trust_xc_ca_name)/(trust_data_quality!$C$2:$C$121=selected_trust_xc_ca_name)*(ROW(trust_data_quality!$C$2:$C$121)-ROW(trust_data_quality!$C$1)),ROWS($F$35:F35))), TRUE, "")</f>
        <v>83</v>
      </c>
      <c r="G36" s="161" cm="1">
        <f t="array" aca="1" ref="G36" ca="1">IF(ROWS($G$35:G35)&lt;=n_trusts_in_CA, INDEX(trust_data_quality!$N$2:$N$121,_xlfn.AGGREGATE(15,3,(trust_data_quality!$C$2:$C$121=selected_trust_xc_ca_name)/(trust_data_quality!$C$2:$C$121=selected_trust_xc_ca_name)*(ROW(trust_data_quality!$C$2:$C$121)-ROW(trust_data_quality!$C$1)),ROWS($G$35:G35))),"")</f>
        <v>0.97590363025665283</v>
      </c>
      <c r="H36" s="94" cm="1">
        <f t="array" aca="1" ref="H36" ca="1">IF(ROWS($H$35:H35)&lt;=n_trusts_in_CA, INDEX(trust_data_quality!$O$2:$O$121,_xlfn.AGGREGATE(15,3,(trust_data_quality!$C$2:$C$121=selected_trust_xc_ca_name)/(trust_data_quality!$C$2:$C$121=selected_trust_xc_ca_name)*(ROW(trust_data_quality!$C$2:$C$121)-ROW(trust_data_quality!$C$1)),ROWS($H$35:H35))),"")</f>
        <v>41</v>
      </c>
      <c r="I36" s="101"/>
    </row>
    <row r="37" spans="3:9" ht="18" customHeight="1" x14ac:dyDescent="0.3">
      <c r="C37" s="82"/>
      <c r="D37" s="100" t="str" cm="1">
        <f t="array" aca="1" ref="D37" ca="1">IF(ROWS($D$35:D36)&lt;=n_trusts_in_CA, INDEX(trust_data_quality!$A$2:$A$121,_xlfn.AGGREGATE(15,3,(trust_data_quality!$C$2:$C$121=selected_trust_xc_ca_name)/(trust_data_quality!$C$2:$C$121=selected_trust_xc_ca_name)*(ROW(trust_data_quality!$C$2:$C$121)-ROW(trust_data_quality!$C$1)),ROWS($D$35:D36))),"")</f>
        <v>Harrogate and District NHS Foundation Trust</v>
      </c>
      <c r="E37" s="82"/>
      <c r="F37" s="92" cm="1">
        <f t="array" aca="1" ref="F37" ca="1">_xlfn.IFS(AND(ROWS($F$35:F36)&lt;=n_trusts_in_CA,selected_dq_denom_xc="n"), INDEX(trust_data_quality!$E$2:$E$121,_xlfn.AGGREGATE(15,3,(trust_data_quality!$C$2:$C$121=selected_trust_xc_ca_name)/(trust_data_quality!$C$2:$C$121=selected_trust_xc_ca_name)*(ROW(trust_data_quality!$C$2:$C$121)-ROW(trust_data_quality!$C$1)),ROWS($F$35:F36))), AND(ROWS($F$35:F36)&lt;=n_trusts_in_CA,selected_dq_denom_xc="n2"), INDEX(trust_data_quality!#REF!,_xlfn.AGGREGATE(15,3,(trust_data_quality!$C$2:$C$121=selected_trust_xc_ca_name)/(trust_data_quality!$C$2:$C$121=selected_trust_xc_ca_name)*(ROW(trust_data_quality!$C$2:$C$121)-ROW(trust_data_quality!$C$1)),ROWS($F$35:F36))), TRUE, "")</f>
        <v>51</v>
      </c>
      <c r="G37" s="161" cm="1">
        <f t="array" aca="1" ref="G37" ca="1">IF(ROWS($G$35:G36)&lt;=n_trusts_in_CA, INDEX(trust_data_quality!$N$2:$N$121,_xlfn.AGGREGATE(15,3,(trust_data_quality!$C$2:$C$121=selected_trust_xc_ca_name)/(trust_data_quality!$C$2:$C$121=selected_trust_xc_ca_name)*(ROW(trust_data_quality!$C$2:$C$121)-ROW(trust_data_quality!$C$1)),ROWS($G$35:G36))),"")</f>
        <v>0.96078431606292725</v>
      </c>
      <c r="H37" s="94" cm="1">
        <f t="array" aca="1" ref="H37" ca="1">IF(ROWS($H$35:H36)&lt;=n_trusts_in_CA, INDEX(trust_data_quality!$O$2:$O$121,_xlfn.AGGREGATE(15,3,(trust_data_quality!$C$2:$C$121=selected_trust_xc_ca_name)/(trust_data_quality!$C$2:$C$121=selected_trust_xc_ca_name)*(ROW(trust_data_quality!$C$2:$C$121)-ROW(trust_data_quality!$C$1)),ROWS($H$35:H36))),"")</f>
        <v>54</v>
      </c>
      <c r="I37" s="101"/>
    </row>
    <row r="38" spans="3:9" ht="18" customHeight="1" x14ac:dyDescent="0.3">
      <c r="C38" s="82"/>
      <c r="D38" s="100" t="str" cm="1">
        <f t="array" aca="1" ref="D38" ca="1">IF(ROWS($D$35:D37)&lt;=n_trusts_in_CA, INDEX(trust_data_quality!$A$2:$A$121,_xlfn.AGGREGATE(15,3,(trust_data_quality!$C$2:$C$121=selected_trust_xc_ca_name)/(trust_data_quality!$C$2:$C$121=selected_trust_xc_ca_name)*(ROW(trust_data_quality!$C$2:$C$121)-ROW(trust_data_quality!$C$1)),ROWS($D$35:D37))),"")</f>
        <v>Airedale NHS Foundation Trust</v>
      </c>
      <c r="E38" s="82"/>
      <c r="F38" s="92" cm="1">
        <f t="array" aca="1" ref="F38" ca="1">_xlfn.IFS(AND(ROWS($F$35:F37)&lt;=n_trusts_in_CA,selected_dq_denom_xc="n"), INDEX(trust_data_quality!$E$2:$E$121,_xlfn.AGGREGATE(15,3,(trust_data_quality!$C$2:$C$121=selected_trust_xc_ca_name)/(trust_data_quality!$C$2:$C$121=selected_trust_xc_ca_name)*(ROW(trust_data_quality!$C$2:$C$121)-ROW(trust_data_quality!$C$1)),ROWS($F$35:F37))), AND(ROWS($F$35:F37)&lt;=n_trusts_in_CA,selected_dq_denom_xc="n2"), INDEX(trust_data_quality!#REF!,_xlfn.AGGREGATE(15,3,(trust_data_quality!$C$2:$C$121=selected_trust_xc_ca_name)/(trust_data_quality!$C$2:$C$121=selected_trust_xc_ca_name)*(ROW(trust_data_quality!$C$2:$C$121)-ROW(trust_data_quality!$C$1)),ROWS($F$35:F37))), TRUE, "")</f>
        <v>46</v>
      </c>
      <c r="G38" s="161" cm="1">
        <f t="array" aca="1" ref="G38" ca="1">IF(ROWS($G$35:G37)&lt;=n_trusts_in_CA, INDEX(trust_data_quality!$N$2:$N$121,_xlfn.AGGREGATE(15,3,(trust_data_quality!$C$2:$C$121=selected_trust_xc_ca_name)/(trust_data_quality!$C$2:$C$121=selected_trust_xc_ca_name)*(ROW(trust_data_quality!$C$2:$C$121)-ROW(trust_data_quality!$C$1)),ROWS($G$35:G37))),"")</f>
        <v>1</v>
      </c>
      <c r="H38" s="94" cm="1">
        <f t="array" aca="1" ref="H38" ca="1">IF(ROWS($H$35:H37)&lt;=n_trusts_in_CA, INDEX(trust_data_quality!$O$2:$O$121,_xlfn.AGGREGATE(15,3,(trust_data_quality!$C$2:$C$121=selected_trust_xc_ca_name)/(trust_data_quality!$C$2:$C$121=selected_trust_xc_ca_name)*(ROW(trust_data_quality!$C$2:$C$121)-ROW(trust_data_quality!$C$1)),ROWS($H$35:H37))),"")</f>
        <v>1</v>
      </c>
      <c r="I38" s="101"/>
    </row>
    <row r="39" spans="3:9" ht="18" customHeight="1" x14ac:dyDescent="0.3">
      <c r="C39" s="82"/>
      <c r="D39" s="100" t="str" cm="1">
        <f t="array" aca="1" ref="D39" ca="1">IF(ROWS($D$35:D38)&lt;=n_trusts_in_CA, INDEX(trust_data_quality!$A$2:$A$121,_xlfn.AGGREGATE(15,3,(trust_data_quality!$C$2:$C$121=selected_trust_xc_ca_name)/(trust_data_quality!$C$2:$C$121=selected_trust_xc_ca_name)*(ROW(trust_data_quality!$C$2:$C$121)-ROW(trust_data_quality!$C$1)),ROWS($D$35:D38))),"")</f>
        <v>Leeds Teaching Hospitals NHS Trust</v>
      </c>
      <c r="E39" s="82"/>
      <c r="F39" s="92" cm="1">
        <f t="array" aca="1" ref="F39" ca="1">_xlfn.IFS(AND(ROWS($F$35:F38)&lt;=n_trusts_in_CA,selected_dq_denom_xc="n"), INDEX(trust_data_quality!$E$2:$E$121,_xlfn.AGGREGATE(15,3,(trust_data_quality!$C$2:$C$121=selected_trust_xc_ca_name)/(trust_data_quality!$C$2:$C$121=selected_trust_xc_ca_name)*(ROW(trust_data_quality!$C$2:$C$121)-ROW(trust_data_quality!$C$1)),ROWS($F$35:F38))), AND(ROWS($F$35:F38)&lt;=n_trusts_in_CA,selected_dq_denom_xc="n2"), INDEX(trust_data_quality!#REF!,_xlfn.AGGREGATE(15,3,(trust_data_quality!$C$2:$C$121=selected_trust_xc_ca_name)/(trust_data_quality!$C$2:$C$121=selected_trust_xc_ca_name)*(ROW(trust_data_quality!$C$2:$C$121)-ROW(trust_data_quality!$C$1)),ROWS($F$35:F38))), TRUE, "")</f>
        <v>154</v>
      </c>
      <c r="G39" s="161" cm="1">
        <f t="array" aca="1" ref="G39" ca="1">IF(ROWS($G$35:G38)&lt;=n_trusts_in_CA, INDEX(trust_data_quality!$N$2:$N$121,_xlfn.AGGREGATE(15,3,(trust_data_quality!$C$2:$C$121=selected_trust_xc_ca_name)/(trust_data_quality!$C$2:$C$121=selected_trust_xc_ca_name)*(ROW(trust_data_quality!$C$2:$C$121)-ROW(trust_data_quality!$C$1)),ROWS($G$35:G38))),"")</f>
        <v>0.9675324559211731</v>
      </c>
      <c r="H39" s="94" cm="1">
        <f t="array" aca="1" ref="H39" ca="1">IF(ROWS($H$35:H38)&lt;=n_trusts_in_CA, INDEX(trust_data_quality!$O$2:$O$121,_xlfn.AGGREGATE(15,3,(trust_data_quality!$C$2:$C$121=selected_trust_xc_ca_name)/(trust_data_quality!$C$2:$C$121=selected_trust_xc_ca_name)*(ROW(trust_data_quality!$C$2:$C$121)-ROW(trust_data_quality!$C$1)),ROWS($H$35:H38))),"")</f>
        <v>47</v>
      </c>
      <c r="I39" s="82"/>
    </row>
    <row r="40" spans="3:9" ht="18" customHeight="1" x14ac:dyDescent="0.3">
      <c r="C40" s="82"/>
      <c r="D40" s="100" t="str" cm="1">
        <f t="array" aca="1" ref="D40" ca="1">IF(ROWS($D$35:D39)&lt;=n_trusts_in_CA, INDEX(trust_data_quality!$A$2:$A$121,_xlfn.AGGREGATE(15,3,(trust_data_quality!$C$2:$C$121=selected_trust_xc_ca_name)/(trust_data_quality!$C$2:$C$121=selected_trust_xc_ca_name)*(ROW(trust_data_quality!$C$2:$C$121)-ROW(trust_data_quality!$C$1)),ROWS($D$35:D39))),"")</f>
        <v>Calderdale and Huddersfield NHS Foundation Trust</v>
      </c>
      <c r="E40" s="82"/>
      <c r="F40" s="92" cm="1">
        <f t="array" aca="1" ref="F40" ca="1">_xlfn.IFS(AND(ROWS($F$35:F39)&lt;=n_trusts_in_CA,selected_dq_denom_xc="n"), INDEX(trust_data_quality!$E$2:$E$121,_xlfn.AGGREGATE(15,3,(trust_data_quality!$C$2:$C$121=selected_trust_xc_ca_name)/(trust_data_quality!$C$2:$C$121=selected_trust_xc_ca_name)*(ROW(trust_data_quality!$C$2:$C$121)-ROW(trust_data_quality!$C$1)),ROWS($F$35:F39))), AND(ROWS($F$35:F39)&lt;=n_trusts_in_CA,selected_dq_denom_xc="n2"), INDEX(trust_data_quality!#REF!,_xlfn.AGGREGATE(15,3,(trust_data_quality!$C$2:$C$121=selected_trust_xc_ca_name)/(trust_data_quality!$C$2:$C$121=selected_trust_xc_ca_name)*(ROW(trust_data_quality!$C$2:$C$121)-ROW(trust_data_quality!$C$1)),ROWS($F$35:F39))), TRUE, "")</f>
        <v>81</v>
      </c>
      <c r="G40" s="161" cm="1">
        <f t="array" aca="1" ref="G40" ca="1">IF(ROWS($G$35:G39)&lt;=n_trusts_in_CA, INDEX(trust_data_quality!$N$2:$N$121,_xlfn.AGGREGATE(15,3,(trust_data_quality!$C$2:$C$121=selected_trust_xc_ca_name)/(trust_data_quality!$C$2:$C$121=selected_trust_xc_ca_name)*(ROW(trust_data_quality!$C$2:$C$121)-ROW(trust_data_quality!$C$1)),ROWS($G$35:G39))),"")</f>
        <v>0.91358023881912231</v>
      </c>
      <c r="H40" s="94" cm="1">
        <f t="array" aca="1" ref="H40" ca="1">IF(ROWS($H$35:H39)&lt;=n_trusts_in_CA, INDEX(trust_data_quality!$O$2:$O$121,_xlfn.AGGREGATE(15,3,(trust_data_quality!$C$2:$C$121=selected_trust_xc_ca_name)/(trust_data_quality!$C$2:$C$121=selected_trust_xc_ca_name)*(ROW(trust_data_quality!$C$2:$C$121)-ROW(trust_data_quality!$C$1)),ROWS($H$35:H39))),"")</f>
        <v>84</v>
      </c>
      <c r="I40" s="82"/>
    </row>
    <row r="41" spans="3:9" ht="18" customHeight="1" x14ac:dyDescent="0.3">
      <c r="C41" s="82"/>
      <c r="D41" s="100" t="str" cm="1">
        <f t="array" aca="1" ref="D41" ca="1">IF(ROWS($D$35:D40)&lt;=n_trusts_in_CA, INDEX(trust_data_quality!$A$2:$A$121,_xlfn.AGGREGATE(15,3,(trust_data_quality!$C$2:$C$121=selected_trust_xc_ca_name)/(trust_data_quality!$C$2:$C$121=selected_trust_xc_ca_name)*(ROW(trust_data_quality!$C$2:$C$121)-ROW(trust_data_quality!$C$1)),ROWS($D$35:D40))),"")</f>
        <v>Mid Yorkshire Teaching NHS Trust</v>
      </c>
      <c r="E41" s="82"/>
      <c r="F41" s="92" cm="1">
        <f t="array" aca="1" ref="F41" ca="1">_xlfn.IFS(AND(ROWS($F$35:F40)&lt;=n_trusts_in_CA,selected_dq_denom_xc="n"), INDEX(trust_data_quality!$E$2:$E$121,_xlfn.AGGREGATE(15,3,(trust_data_quality!$C$2:$C$121=selected_trust_xc_ca_name)/(trust_data_quality!$C$2:$C$121=selected_trust_xc_ca_name)*(ROW(trust_data_quality!$C$2:$C$121)-ROW(trust_data_quality!$C$1)),ROWS($F$35:F40))), AND(ROWS($F$35:F40)&lt;=n_trusts_in_CA,selected_dq_denom_xc="n2"), INDEX(trust_data_quality!#REF!,_xlfn.AGGREGATE(15,3,(trust_data_quality!$C$2:$C$121=selected_trust_xc_ca_name)/(trust_data_quality!$C$2:$C$121=selected_trust_xc_ca_name)*(ROW(trust_data_quality!$C$2:$C$121)-ROW(trust_data_quality!$C$1)),ROWS($F$35:F40))), TRUE, "")</f>
        <v>152</v>
      </c>
      <c r="G41" s="161" cm="1">
        <f t="array" aca="1" ref="G41" ca="1">IF(ROWS($G$35:G40)&lt;=n_trusts_in_CA, INDEX(trust_data_quality!$N$2:$N$121,_xlfn.AGGREGATE(15,3,(trust_data_quality!$C$2:$C$121=selected_trust_xc_ca_name)/(trust_data_quality!$C$2:$C$121=selected_trust_xc_ca_name)*(ROW(trust_data_quality!$C$2:$C$121)-ROW(trust_data_quality!$C$1)),ROWS($G$35:G40))),"")</f>
        <v>0.94078946113586426</v>
      </c>
      <c r="H41" s="94" cm="1">
        <f t="array" aca="1" ref="H41" ca="1">IF(ROWS($H$35:H40)&lt;=n_trusts_in_CA, INDEX(trust_data_quality!$O$2:$O$121,_xlfn.AGGREGATE(15,3,(trust_data_quality!$C$2:$C$121=selected_trust_xc_ca_name)/(trust_data_quality!$C$2:$C$121=selected_trust_xc_ca_name)*(ROW(trust_data_quality!$C$2:$C$121)-ROW(trust_data_quality!$C$1)),ROWS($H$35:H40))),"")</f>
        <v>69</v>
      </c>
      <c r="I41" s="82"/>
    </row>
    <row r="42" spans="3:9" ht="18" customHeight="1" x14ac:dyDescent="0.3">
      <c r="C42" s="82"/>
      <c r="D42" s="100" t="str" cm="1">
        <f t="array" aca="1" ref="D42" ca="1">IF(ROWS($D$35:D41)&lt;=n_trusts_in_CA, INDEX(trust_data_quality!$A$2:$A$121,_xlfn.AGGREGATE(15,3,(trust_data_quality!$C$2:$C$121=selected_trust_xc_ca_name)/(trust_data_quality!$C$2:$C$121=selected_trust_xc_ca_name)*(ROW(trust_data_quality!$C$2:$C$121)-ROW(trust_data_quality!$C$1)),ROWS($D$35:D41))),"")</f>
        <v/>
      </c>
      <c r="E42" s="82"/>
      <c r="F42" s="92" t="str" cm="1">
        <f t="array" aca="1" ref="F42" ca="1">_xlfn.IFS(AND(ROWS($F$35:F41)&lt;=n_trusts_in_CA,selected_dq_denom_xc="n"), INDEX(trust_data_quality!$E$2:$E$121,_xlfn.AGGREGATE(15,3,(trust_data_quality!$C$2:$C$121=selected_trust_xc_ca_name)/(trust_data_quality!$C$2:$C$121=selected_trust_xc_ca_name)*(ROW(trust_data_quality!$C$2:$C$121)-ROW(trust_data_quality!$C$1)),ROWS($F$35:F41))), AND(ROWS($F$35:F41)&lt;=n_trusts_in_CA,selected_dq_denom_xc="n2"), INDEX(trust_data_quality!#REF!,_xlfn.AGGREGATE(15,3,(trust_data_quality!$C$2:$C$121=selected_trust_xc_ca_name)/(trust_data_quality!$C$2:$C$121=selected_trust_xc_ca_name)*(ROW(trust_data_quality!$C$2:$C$121)-ROW(trust_data_quality!$C$1)),ROWS($F$35:F41))), TRUE, "")</f>
        <v/>
      </c>
      <c r="G42" s="161" t="str" cm="1">
        <f t="array" aca="1" ref="G42" ca="1">IF(ROWS($G$35:G41)&lt;=n_trusts_in_CA, INDEX(trust_data_quality!$N$2:$N$121,_xlfn.AGGREGATE(15,3,(trust_data_quality!$C$2:$C$121=selected_trust_xc_ca_name)/(trust_data_quality!$C$2:$C$121=selected_trust_xc_ca_name)*(ROW(trust_data_quality!$C$2:$C$121)-ROW(trust_data_quality!$C$1)),ROWS($G$35:G41))),"")</f>
        <v/>
      </c>
      <c r="H42" s="94" t="str" cm="1">
        <f t="array" aca="1" ref="H42" ca="1">IF(ROWS($H$35:H41)&lt;=n_trusts_in_CA, INDEX(trust_data_quality!$O$2:$O$121,_xlfn.AGGREGATE(15,3,(trust_data_quality!$C$2:$C$121=selected_trust_xc_ca_name)/(trust_data_quality!$C$2:$C$121=selected_trust_xc_ca_name)*(ROW(trust_data_quality!$C$2:$C$121)-ROW(trust_data_quality!$C$1)),ROWS($H$35:H41))),"")</f>
        <v/>
      </c>
      <c r="I42" s="82"/>
    </row>
    <row r="43" spans="3:9" ht="18" customHeight="1" x14ac:dyDescent="0.3">
      <c r="C43" s="82"/>
      <c r="D43" s="100" t="str" cm="1">
        <f t="array" aca="1" ref="D43" ca="1">IF(ROWS($D$35:D42)&lt;=n_trusts_in_CA, INDEX(trust_data_quality!$A$2:$A$121,_xlfn.AGGREGATE(15,3,(trust_data_quality!$C$2:$C$121=selected_trust_xc_ca_name)/(trust_data_quality!$C$2:$C$121=selected_trust_xc_ca_name)*(ROW(trust_data_quality!$C$2:$C$121)-ROW(trust_data_quality!$C$1)),ROWS($D$35:D42))),"")</f>
        <v/>
      </c>
      <c r="E43" s="82"/>
      <c r="F43" s="92" t="str" cm="1">
        <f t="array" aca="1" ref="F43" ca="1">_xlfn.IFS(AND(ROWS($F$35:F42)&lt;=n_trusts_in_CA,selected_dq_denom_xc="n"), INDEX(trust_data_quality!$E$2:$E$121,_xlfn.AGGREGATE(15,3,(trust_data_quality!$C$2:$C$121=selected_trust_xc_ca_name)/(trust_data_quality!$C$2:$C$121=selected_trust_xc_ca_name)*(ROW(trust_data_quality!$C$2:$C$121)-ROW(trust_data_quality!$C$1)),ROWS($F$35:F42))), AND(ROWS($F$35:F42)&lt;=n_trusts_in_CA,selected_dq_denom_xc="n2"), INDEX(trust_data_quality!#REF!,_xlfn.AGGREGATE(15,3,(trust_data_quality!$C$2:$C$121=selected_trust_xc_ca_name)/(trust_data_quality!$C$2:$C$121=selected_trust_xc_ca_name)*(ROW(trust_data_quality!$C$2:$C$121)-ROW(trust_data_quality!$C$1)),ROWS($F$35:F42))), TRUE, "")</f>
        <v/>
      </c>
      <c r="G43" s="161" t="str" cm="1">
        <f t="array" aca="1" ref="G43" ca="1">IF(ROWS($G$35:G42)&lt;=n_trusts_in_CA, INDEX(trust_data_quality!$N$2:$N$121,_xlfn.AGGREGATE(15,3,(trust_data_quality!$C$2:$C$121=selected_trust_xc_ca_name)/(trust_data_quality!$C$2:$C$121=selected_trust_xc_ca_name)*(ROW(trust_data_quality!$C$2:$C$121)-ROW(trust_data_quality!$C$1)),ROWS($G$35:G42))),"")</f>
        <v/>
      </c>
      <c r="H43" s="94" t="str" cm="1">
        <f t="array" aca="1" ref="H43" ca="1">IF(ROWS($H$35:H42)&lt;=n_trusts_in_CA, INDEX(trust_data_quality!$O$2:$O$121,_xlfn.AGGREGATE(15,3,(trust_data_quality!$C$2:$C$121=selected_trust_xc_ca_name)/(trust_data_quality!$C$2:$C$121=selected_trust_xc_ca_name)*(ROW(trust_data_quality!$C$2:$C$121)-ROW(trust_data_quality!$C$1)),ROWS($H$35:H42))),"")</f>
        <v/>
      </c>
      <c r="I43" s="82"/>
    </row>
    <row r="44" spans="3:9" ht="18" customHeight="1" x14ac:dyDescent="0.3">
      <c r="C44" s="82"/>
      <c r="D44" s="100" t="str" cm="1">
        <f t="array" aca="1" ref="D44" ca="1">IF(ROWS($D$35:D43)&lt;=n_trusts_in_CA, INDEX(trust_data_quality!$A$2:$A$121,_xlfn.AGGREGATE(15,3,(trust_data_quality!$C$2:$C$121=selected_trust_xc_ca_name)/(trust_data_quality!$C$2:$C$121=selected_trust_xc_ca_name)*(ROW(trust_data_quality!$C$2:$C$121)-ROW(trust_data_quality!$C$1)),ROWS($D$35:D43))),"")</f>
        <v/>
      </c>
      <c r="E44" s="82"/>
      <c r="F44" s="92" t="str" cm="1">
        <f t="array" aca="1" ref="F44" ca="1">_xlfn.IFS(AND(ROWS($F$35:F43)&lt;=n_trusts_in_CA,selected_dq_denom_xc="n"), INDEX(trust_data_quality!$E$2:$E$121,_xlfn.AGGREGATE(15,3,(trust_data_quality!$C$2:$C$121=selected_trust_xc_ca_name)/(trust_data_quality!$C$2:$C$121=selected_trust_xc_ca_name)*(ROW(trust_data_quality!$C$2:$C$121)-ROW(trust_data_quality!$C$1)),ROWS($F$35:F43))), AND(ROWS($F$35:F43)&lt;=n_trusts_in_CA,selected_dq_denom_xc="n2"), INDEX(trust_data_quality!#REF!,_xlfn.AGGREGATE(15,3,(trust_data_quality!$C$2:$C$121=selected_trust_xc_ca_name)/(trust_data_quality!$C$2:$C$121=selected_trust_xc_ca_name)*(ROW(trust_data_quality!$C$2:$C$121)-ROW(trust_data_quality!$C$1)),ROWS($F$35:F43))), TRUE, "")</f>
        <v/>
      </c>
      <c r="G44" s="161" t="str" cm="1">
        <f t="array" aca="1" ref="G44" ca="1">IF(ROWS($G$35:G43)&lt;=n_trusts_in_CA, INDEX(trust_data_quality!$N$2:$N$121,_xlfn.AGGREGATE(15,3,(trust_data_quality!$C$2:$C$121=selected_trust_xc_ca_name)/(trust_data_quality!$C$2:$C$121=selected_trust_xc_ca_name)*(ROW(trust_data_quality!$C$2:$C$121)-ROW(trust_data_quality!$C$1)),ROWS($G$35:G43))),"")</f>
        <v/>
      </c>
      <c r="H44" s="94" t="str" cm="1">
        <f t="array" aca="1" ref="H44" ca="1">IF(ROWS($H$35:H43)&lt;=n_trusts_in_CA, INDEX(trust_data_quality!$O$2:$O$121,_xlfn.AGGREGATE(15,3,(trust_data_quality!$C$2:$C$121=selected_trust_xc_ca_name)/(trust_data_quality!$C$2:$C$121=selected_trust_xc_ca_name)*(ROW(trust_data_quality!$C$2:$C$121)-ROW(trust_data_quality!$C$1)),ROWS($H$35:H43))),"")</f>
        <v/>
      </c>
      <c r="I44" s="82"/>
    </row>
    <row r="45" spans="3:9" ht="18" customHeight="1" x14ac:dyDescent="0.3">
      <c r="C45" s="82"/>
      <c r="D45" s="100" t="str" cm="1">
        <f t="array" aca="1" ref="D45" ca="1">IF(ROWS($D$35:D44)&lt;=n_trusts_in_CA, INDEX(trust_data_quality!$A$2:$A$121,_xlfn.AGGREGATE(15,3,(trust_data_quality!$C$2:$C$121=selected_trust_xc_ca_name)/(trust_data_quality!$C$2:$C$121=selected_trust_xc_ca_name)*(ROW(trust_data_quality!$C$2:$C$121)-ROW(trust_data_quality!$C$1)),ROWS($D$35:D44))),"")</f>
        <v/>
      </c>
      <c r="E45" s="82"/>
      <c r="F45" s="92" t="str" cm="1">
        <f t="array" aca="1" ref="F45" ca="1">_xlfn.IFS(AND(ROWS($F$35:F44)&lt;=n_trusts_in_CA,selected_dq_denom_xc="n"), INDEX(trust_data_quality!$E$2:$E$121,_xlfn.AGGREGATE(15,3,(trust_data_quality!$C$2:$C$121=selected_trust_xc_ca_name)/(trust_data_quality!$C$2:$C$121=selected_trust_xc_ca_name)*(ROW(trust_data_quality!$C$2:$C$121)-ROW(trust_data_quality!$C$1)),ROWS($F$35:F44))), AND(ROWS($F$35:F44)&lt;=n_trusts_in_CA,selected_dq_denom_xc="n2"), INDEX(trust_data_quality!#REF!,_xlfn.AGGREGATE(15,3,(trust_data_quality!$C$2:$C$121=selected_trust_xc_ca_name)/(trust_data_quality!$C$2:$C$121=selected_trust_xc_ca_name)*(ROW(trust_data_quality!$C$2:$C$121)-ROW(trust_data_quality!$C$1)),ROWS($F$35:F44))), TRUE, "")</f>
        <v/>
      </c>
      <c r="G45" s="161" t="str" cm="1">
        <f t="array" aca="1" ref="G45" ca="1">IF(ROWS($G$35:G44)&lt;=n_trusts_in_CA, INDEX(trust_data_quality!$N$2:$N$121,_xlfn.AGGREGATE(15,3,(trust_data_quality!$C$2:$C$121=selected_trust_xc_ca_name)/(trust_data_quality!$C$2:$C$121=selected_trust_xc_ca_name)*(ROW(trust_data_quality!$C$2:$C$121)-ROW(trust_data_quality!$C$1)),ROWS($G$35:G44))),"")</f>
        <v/>
      </c>
      <c r="H45" s="94" t="str" cm="1">
        <f t="array" aca="1" ref="H45" ca="1">IF(ROWS($H$35:H44)&lt;=n_trusts_in_CA, INDEX(trust_data_quality!$O$2:$O$121,_xlfn.AGGREGATE(15,3,(trust_data_quality!$C$2:$C$121=selected_trust_xc_ca_name)/(trust_data_quality!$C$2:$C$121=selected_trust_xc_ca_name)*(ROW(trust_data_quality!$C$2:$C$121)-ROW(trust_data_quality!$C$1)),ROWS($H$35:H44))),"")</f>
        <v/>
      </c>
      <c r="I45" s="82"/>
    </row>
    <row r="46" spans="3:9" ht="18" customHeight="1" x14ac:dyDescent="0.3">
      <c r="C46" s="82"/>
      <c r="D46" s="100" t="str" cm="1">
        <f t="array" aca="1" ref="D46" ca="1">IF(ROWS($D$35:D45)&lt;=n_trusts_in_CA, INDEX(trust_data_quality!$A$2:$A$121,_xlfn.AGGREGATE(15,3,(trust_data_quality!$C$2:$C$121=selected_trust_xc_ca_name)/(trust_data_quality!$C$2:$C$121=selected_trust_xc_ca_name)*(ROW(trust_data_quality!$C$2:$C$121)-ROW(trust_data_quality!$C$1)),ROWS($D$35:D45))),"")</f>
        <v/>
      </c>
      <c r="E46" s="82"/>
      <c r="F46" s="92" t="str" cm="1">
        <f t="array" aca="1" ref="F46" ca="1">_xlfn.IFS(AND(ROWS($F$35:F45)&lt;=n_trusts_in_CA,selected_dq_denom_xc="n"), INDEX(trust_data_quality!$E$2:$E$121,_xlfn.AGGREGATE(15,3,(trust_data_quality!$C$2:$C$121=selected_trust_xc_ca_name)/(trust_data_quality!$C$2:$C$121=selected_trust_xc_ca_name)*(ROW(trust_data_quality!$C$2:$C$121)-ROW(trust_data_quality!$C$1)),ROWS($F$35:F45))), AND(ROWS($F$35:F45)&lt;=n_trusts_in_CA,selected_dq_denom_xc="n2"), INDEX(trust_data_quality!#REF!,_xlfn.AGGREGATE(15,3,(trust_data_quality!$C$2:$C$121=selected_trust_xc_ca_name)/(trust_data_quality!$C$2:$C$121=selected_trust_xc_ca_name)*(ROW(trust_data_quality!$C$2:$C$121)-ROW(trust_data_quality!$C$1)),ROWS($F$35:F45))), TRUE, "")</f>
        <v/>
      </c>
      <c r="G46" s="161" t="str" cm="1">
        <f t="array" aca="1" ref="G46" ca="1">IF(ROWS($G$35:G45)&lt;=n_trusts_in_CA, INDEX(trust_data_quality!$N$2:$N$121,_xlfn.AGGREGATE(15,3,(trust_data_quality!$C$2:$C$121=selected_trust_xc_ca_name)/(trust_data_quality!$C$2:$C$121=selected_trust_xc_ca_name)*(ROW(trust_data_quality!$C$2:$C$121)-ROW(trust_data_quality!$C$1)),ROWS($G$35:G45))),"")</f>
        <v/>
      </c>
      <c r="H46" s="94" t="str" cm="1">
        <f t="array" aca="1" ref="H46" ca="1">IF(ROWS($H$35:H45)&lt;=n_trusts_in_CA, INDEX(trust_data_quality!$O$2:$O$121,_xlfn.AGGREGATE(15,3,(trust_data_quality!$C$2:$C$121=selected_trust_xc_ca_name)/(trust_data_quality!$C$2:$C$121=selected_trust_xc_ca_name)*(ROW(trust_data_quality!$C$2:$C$121)-ROW(trust_data_quality!$C$1)),ROWS($H$35:H45))),"")</f>
        <v/>
      </c>
      <c r="I46" s="82"/>
    </row>
    <row r="47" spans="3:9" ht="18" customHeight="1" x14ac:dyDescent="0.3">
      <c r="C47" s="82"/>
      <c r="D47" s="100" t="str" cm="1">
        <f t="array" aca="1" ref="D47" ca="1">IF(ROWS($D$35:D46)&lt;=n_trusts_in_CA, INDEX(trust_data_quality!$A$2:$A$121,_xlfn.AGGREGATE(15,3,(trust_data_quality!$C$2:$C$121=selected_trust_xc_ca_name)/(trust_data_quality!$C$2:$C$121=selected_trust_xc_ca_name)*(ROW(trust_data_quality!$C$2:$C$121)-ROW(trust_data_quality!$C$1)),ROWS($D$35:D46))),"")</f>
        <v/>
      </c>
      <c r="E47" s="82"/>
      <c r="F47" s="92" t="str" cm="1">
        <f t="array" aca="1" ref="F47" ca="1">_xlfn.IFS(AND(ROWS($F$35:F46)&lt;=n_trusts_in_CA,selected_dq_denom_xc="n"), INDEX(trust_data_quality!$E$2:$E$121,_xlfn.AGGREGATE(15,3,(trust_data_quality!$C$2:$C$121=selected_trust_xc_ca_name)/(trust_data_quality!$C$2:$C$121=selected_trust_xc_ca_name)*(ROW(trust_data_quality!$C$2:$C$121)-ROW(trust_data_quality!$C$1)),ROWS($F$35:F46))), AND(ROWS($F$35:F46)&lt;=n_trusts_in_CA,selected_dq_denom_xc="n2"), INDEX(trust_data_quality!#REF!,_xlfn.AGGREGATE(15,3,(trust_data_quality!$C$2:$C$121=selected_trust_xc_ca_name)/(trust_data_quality!$C$2:$C$121=selected_trust_xc_ca_name)*(ROW(trust_data_quality!$C$2:$C$121)-ROW(trust_data_quality!$C$1)),ROWS($F$35:F46))), TRUE, "")</f>
        <v/>
      </c>
      <c r="G47" s="161" t="str" cm="1">
        <f t="array" aca="1" ref="G47" ca="1">IF(ROWS($G$35:G46)&lt;=n_trusts_in_CA, INDEX(trust_data_quality!$N$2:$N$121,_xlfn.AGGREGATE(15,3,(trust_data_quality!$C$2:$C$121=selected_trust_xc_ca_name)/(trust_data_quality!$C$2:$C$121=selected_trust_xc_ca_name)*(ROW(trust_data_quality!$C$2:$C$121)-ROW(trust_data_quality!$C$1)),ROWS($G$35:G46))),"")</f>
        <v/>
      </c>
      <c r="H47" s="94" t="str" cm="1">
        <f t="array" aca="1" ref="H47" ca="1">IF(ROWS($H$35:H46)&lt;=n_trusts_in_CA, INDEX(trust_data_quality!$O$2:$O$121,_xlfn.AGGREGATE(15,3,(trust_data_quality!$C$2:$C$121=selected_trust_xc_ca_name)/(trust_data_quality!$C$2:$C$121=selected_trust_xc_ca_name)*(ROW(trust_data_quality!$C$2:$C$121)-ROW(trust_data_quality!$C$1)),ROWS($H$35:H46))),"")</f>
        <v/>
      </c>
      <c r="I47" s="82"/>
    </row>
    <row r="48" spans="3:9" ht="18.75" x14ac:dyDescent="0.3">
      <c r="C48" s="82"/>
      <c r="D48" s="102" t="str" cm="1">
        <f t="array" aca="1" ref="D48" ca="1">IF(ROWS($D$35:D47)&lt;=n_trusts_in_CA, INDEX(trust_data_quality!$A$2:$A$121,_xlfn.AGGREGATE(15,3,(trust_data_quality!$C$2:$C$121=selected_trust_xc_ca_name)/(trust_data_quality!$C$2:$C$121=selected_trust_xc_ca_name)*(ROW(trust_data_quality!$C$2:$C$121)-ROW(trust_data_quality!$C$1)),ROWS($D$35:D47))),"")</f>
        <v/>
      </c>
      <c r="E48" s="162"/>
      <c r="F48" s="96" t="str" cm="1">
        <f t="array" aca="1" ref="F48" ca="1">_xlfn.IFS(AND(ROWS($F$35:F47)&lt;=n_trusts_in_CA,selected_dq_denom_xc="n"), INDEX(trust_data_quality!$E$2:$E$121,_xlfn.AGGREGATE(15,3,(trust_data_quality!$C$2:$C$121=selected_trust_xc_ca_name)/(trust_data_quality!$C$2:$C$121=selected_trust_xc_ca_name)*(ROW(trust_data_quality!$C$2:$C$121)-ROW(trust_data_quality!$C$1)),ROWS($F$35:F47))), AND(ROWS($F$35:F47)&lt;=n_trusts_in_CA,selected_dq_denom_xc="n2"), INDEX(trust_data_quality!#REF!,_xlfn.AGGREGATE(15,3,(trust_data_quality!$C$2:$C$121=selected_trust_xc_ca_name)/(trust_data_quality!$C$2:$C$121=selected_trust_xc_ca_name)*(ROW(trust_data_quality!$C$2:$C$121)-ROW(trust_data_quality!$C$1)),ROWS($F$35:F47))), TRUE, "")</f>
        <v/>
      </c>
      <c r="G48" s="97" t="str" cm="1">
        <f t="array" aca="1" ref="G48" ca="1">IF(ROWS($G$35:G47)&lt;=n_trusts_in_CA, INDEX(trust_data_quality!$N$2:$N$121,_xlfn.AGGREGATE(15,3,(trust_data_quality!$C$2:$C$121=selected_trust_xc_ca_name)/(trust_data_quality!$C$2:$C$121=selected_trust_xc_ca_name)*(ROW(trust_data_quality!$C$2:$C$121)-ROW(trust_data_quality!$C$1)),ROWS($G$35:G47))),"")</f>
        <v/>
      </c>
      <c r="H48" s="103" t="str" cm="1">
        <f t="array" aca="1" ref="H48" ca="1">IF(ROWS($H$35:H47)&lt;=n_trusts_in_CA, INDEX(trust_data_quality!$O$2:$O$121,_xlfn.AGGREGATE(15,3,(trust_data_quality!$C$2:$C$121=selected_trust_xc_ca_name)/(trust_data_quality!$C$2:$C$121=selected_trust_xc_ca_name)*(ROW(trust_data_quality!$C$2:$C$121)-ROW(trust_data_quality!$C$1)),ROWS($H$35:H47))),"")</f>
        <v/>
      </c>
      <c r="I48" s="82"/>
    </row>
    <row r="49" spans="3:9" ht="19.899999999999999" customHeight="1" x14ac:dyDescent="0.3">
      <c r="C49" s="82"/>
      <c r="I49" s="82"/>
    </row>
    <row r="50" spans="3:9" ht="51.6" customHeight="1" x14ac:dyDescent="0.3">
      <c r="C50" s="82"/>
      <c r="D50" s="171" t="s">
        <v>578</v>
      </c>
      <c r="E50" s="171"/>
      <c r="F50" s="171"/>
      <c r="G50" s="171"/>
      <c r="H50" s="171"/>
      <c r="I50" s="82"/>
    </row>
    <row r="51" spans="3:9" ht="18" customHeight="1" x14ac:dyDescent="0.3">
      <c r="C51" s="82"/>
      <c r="D51" s="101"/>
      <c r="E51" s="82"/>
      <c r="F51" s="82"/>
      <c r="G51" s="104"/>
      <c r="H51" s="82"/>
      <c r="I51" s="82"/>
    </row>
    <row r="52" spans="3:9" ht="18" customHeight="1" x14ac:dyDescent="0.3">
      <c r="C52" s="82"/>
      <c r="D52" s="101"/>
      <c r="E52" s="82"/>
      <c r="F52" s="82"/>
      <c r="G52" s="104"/>
      <c r="H52" s="82"/>
      <c r="I52" s="82"/>
    </row>
    <row r="53" spans="3:9" ht="18" customHeight="1" x14ac:dyDescent="0.3">
      <c r="C53" s="82"/>
      <c r="D53" s="101"/>
      <c r="E53" s="82"/>
      <c r="F53" s="82"/>
      <c r="G53" s="104"/>
      <c r="H53" s="82"/>
      <c r="I53" s="82"/>
    </row>
    <row r="54" spans="3:9" ht="18" customHeight="1" x14ac:dyDescent="0.3">
      <c r="C54" s="82"/>
      <c r="D54" s="101"/>
      <c r="E54" s="82"/>
      <c r="F54" s="82"/>
      <c r="G54" s="104"/>
      <c r="H54" s="82"/>
      <c r="I54" s="82"/>
    </row>
    <row r="55" spans="3:9" ht="18" customHeight="1" x14ac:dyDescent="0.3">
      <c r="C55" s="82"/>
      <c r="D55" s="82"/>
      <c r="E55" s="82"/>
      <c r="F55" s="82"/>
      <c r="G55" s="104"/>
      <c r="H55" s="82"/>
      <c r="I55" s="82"/>
    </row>
    <row r="56" spans="3:9" ht="18" customHeight="1" x14ac:dyDescent="0.3">
      <c r="C56" s="82"/>
      <c r="D56" s="82"/>
      <c r="E56" s="82"/>
      <c r="F56" s="82"/>
      <c r="G56" s="104"/>
      <c r="H56" s="82"/>
      <c r="I56" s="82"/>
    </row>
    <row r="57" spans="3:9" ht="18" customHeight="1" x14ac:dyDescent="0.3">
      <c r="C57" s="82"/>
      <c r="D57" s="101"/>
      <c r="E57" s="82"/>
      <c r="F57" s="82"/>
      <c r="G57" s="104"/>
      <c r="H57" s="82"/>
      <c r="I57" s="82"/>
    </row>
    <row r="58" spans="3:9" ht="18" customHeight="1" x14ac:dyDescent="0.3">
      <c r="C58" s="82"/>
      <c r="D58" s="101"/>
      <c r="E58" s="82"/>
      <c r="F58" s="82"/>
      <c r="G58" s="104"/>
      <c r="H58" s="82"/>
      <c r="I58" s="82"/>
    </row>
    <row r="59" spans="3:9" ht="18" customHeight="1" x14ac:dyDescent="0.3">
      <c r="C59" s="82"/>
      <c r="D59" s="101"/>
      <c r="E59" s="82"/>
      <c r="F59" s="82"/>
      <c r="G59" s="104"/>
      <c r="H59" s="82"/>
      <c r="I59" s="82"/>
    </row>
    <row r="60" spans="3:9" ht="18" customHeight="1" x14ac:dyDescent="0.3">
      <c r="C60" s="82"/>
      <c r="D60" s="101"/>
      <c r="E60" s="82"/>
      <c r="F60" s="82"/>
      <c r="G60" s="104"/>
      <c r="H60" s="82"/>
      <c r="I60" s="82"/>
    </row>
    <row r="61" spans="3:9" ht="18" customHeight="1" x14ac:dyDescent="0.3">
      <c r="C61" s="82"/>
      <c r="D61" s="101"/>
      <c r="E61" s="82"/>
      <c r="F61" s="82"/>
      <c r="G61" s="104"/>
      <c r="H61" s="82"/>
      <c r="I61" s="82"/>
    </row>
    <row r="62" spans="3:9" ht="18" customHeight="1" x14ac:dyDescent="0.3">
      <c r="C62" s="82"/>
      <c r="D62" s="101"/>
      <c r="E62" s="82"/>
      <c r="F62" s="82"/>
      <c r="G62" s="104"/>
      <c r="H62" s="82"/>
      <c r="I62" s="82"/>
    </row>
    <row r="63" spans="3:9" ht="18" customHeight="1" x14ac:dyDescent="0.3">
      <c r="C63" s="82"/>
      <c r="D63" s="101"/>
      <c r="E63" s="82"/>
      <c r="F63" s="82"/>
      <c r="G63" s="104"/>
      <c r="H63" s="82"/>
      <c r="I63" s="82"/>
    </row>
    <row r="64" spans="3:9" ht="18" customHeight="1" x14ac:dyDescent="0.3">
      <c r="C64" s="82"/>
      <c r="D64" s="101"/>
      <c r="E64" s="82"/>
      <c r="F64" s="82"/>
      <c r="G64" s="104"/>
      <c r="H64" s="82"/>
      <c r="I64" s="82"/>
    </row>
    <row r="65" spans="3:9" ht="18" customHeight="1" x14ac:dyDescent="0.3">
      <c r="C65" s="82"/>
      <c r="D65" s="101"/>
      <c r="E65" s="82"/>
      <c r="F65" s="82"/>
      <c r="G65" s="104"/>
      <c r="H65" s="82"/>
      <c r="I65" s="82"/>
    </row>
    <row r="66" spans="3:9" ht="18" customHeight="1" x14ac:dyDescent="0.3">
      <c r="C66" s="82"/>
      <c r="D66" s="101"/>
      <c r="E66" s="82"/>
      <c r="F66" s="82"/>
      <c r="G66" s="104"/>
      <c r="H66" s="82"/>
      <c r="I66" s="82"/>
    </row>
    <row r="67" spans="3:9" ht="18" customHeight="1" x14ac:dyDescent="0.3">
      <c r="C67" s="82"/>
      <c r="D67" s="101"/>
      <c r="E67" s="82"/>
      <c r="F67" s="82"/>
      <c r="G67" s="104"/>
      <c r="H67" s="82"/>
      <c r="I67" s="82"/>
    </row>
    <row r="68" spans="3:9" ht="18" customHeight="1" x14ac:dyDescent="0.3">
      <c r="C68" s="82"/>
      <c r="D68" s="101"/>
      <c r="E68" s="82"/>
      <c r="F68" s="82"/>
      <c r="G68" s="104"/>
      <c r="H68" s="82"/>
      <c r="I68" s="82"/>
    </row>
    <row r="69" spans="3:9" ht="18" customHeight="1" x14ac:dyDescent="0.3">
      <c r="C69" s="82"/>
      <c r="D69" s="101"/>
      <c r="E69" s="82"/>
      <c r="F69" s="82"/>
      <c r="G69" s="104"/>
      <c r="H69" s="82"/>
      <c r="I69" s="82"/>
    </row>
    <row r="70" spans="3:9" ht="18" customHeight="1" x14ac:dyDescent="0.3">
      <c r="C70" s="82"/>
      <c r="D70" s="101"/>
      <c r="E70" s="82"/>
      <c r="F70" s="82"/>
      <c r="G70" s="104"/>
      <c r="H70" s="82"/>
      <c r="I70" s="82"/>
    </row>
    <row r="71" spans="3:9" ht="18" customHeight="1" x14ac:dyDescent="0.3">
      <c r="C71" s="82"/>
      <c r="D71" s="101"/>
      <c r="E71" s="82"/>
      <c r="F71" s="82"/>
      <c r="G71" s="104"/>
      <c r="H71" s="82"/>
      <c r="I71" s="82"/>
    </row>
    <row r="72" spans="3:9" ht="18" customHeight="1" x14ac:dyDescent="0.3">
      <c r="C72" s="82"/>
      <c r="D72" s="101"/>
      <c r="E72" s="82"/>
      <c r="F72" s="82"/>
      <c r="G72" s="104"/>
      <c r="H72" s="82"/>
      <c r="I72" s="82"/>
    </row>
    <row r="73" spans="3:9" ht="18" customHeight="1" x14ac:dyDescent="0.3">
      <c r="C73" s="82"/>
      <c r="D73" s="101"/>
      <c r="E73" s="82"/>
      <c r="F73" s="82"/>
      <c r="G73" s="104"/>
      <c r="H73" s="82"/>
      <c r="I73" s="82"/>
    </row>
    <row r="74" spans="3:9" ht="18" customHeight="1" x14ac:dyDescent="0.3">
      <c r="C74" s="82"/>
      <c r="D74" s="101"/>
      <c r="E74" s="82"/>
      <c r="F74" s="82"/>
      <c r="G74" s="104"/>
      <c r="H74" s="82"/>
      <c r="I74" s="82"/>
    </row>
    <row r="75" spans="3:9" ht="18" customHeight="1" x14ac:dyDescent="0.3">
      <c r="C75" s="82"/>
      <c r="D75" s="101"/>
      <c r="E75" s="82"/>
      <c r="F75" s="82"/>
      <c r="G75" s="104"/>
      <c r="H75" s="82"/>
      <c r="I75" s="82"/>
    </row>
    <row r="76" spans="3:9" ht="18" customHeight="1" x14ac:dyDescent="0.3">
      <c r="C76" s="82"/>
      <c r="D76" s="101"/>
      <c r="E76" s="82"/>
      <c r="F76" s="82"/>
      <c r="G76" s="104"/>
      <c r="H76" s="82"/>
      <c r="I76" s="82"/>
    </row>
    <row r="77" spans="3:9" ht="18" customHeight="1" x14ac:dyDescent="0.3">
      <c r="C77" s="82"/>
      <c r="D77" s="101"/>
      <c r="E77" s="82"/>
      <c r="F77" s="82"/>
      <c r="G77" s="104"/>
      <c r="H77" s="82"/>
      <c r="I77" s="82"/>
    </row>
    <row r="78" spans="3:9" ht="18" customHeight="1" x14ac:dyDescent="0.3">
      <c r="C78" s="82"/>
      <c r="D78" s="101"/>
      <c r="E78" s="82"/>
      <c r="F78" s="82"/>
      <c r="G78" s="104"/>
      <c r="H78" s="82"/>
      <c r="I78" s="82"/>
    </row>
    <row r="79" spans="3:9" ht="18" customHeight="1" x14ac:dyDescent="0.3">
      <c r="C79" s="82"/>
      <c r="D79" s="101"/>
      <c r="E79" s="82"/>
      <c r="F79" s="82"/>
      <c r="G79" s="104"/>
      <c r="H79" s="82"/>
      <c r="I79" s="82"/>
    </row>
    <row r="80" spans="3:9" ht="18" customHeight="1" x14ac:dyDescent="0.3">
      <c r="C80" s="82"/>
      <c r="D80" s="101"/>
      <c r="E80" s="82"/>
      <c r="F80" s="82"/>
      <c r="G80" s="104"/>
      <c r="H80" s="82"/>
      <c r="I80" s="82"/>
    </row>
    <row r="81" spans="3:9" ht="18" customHeight="1" x14ac:dyDescent="0.3">
      <c r="C81" s="82"/>
      <c r="D81" s="101"/>
      <c r="E81" s="82"/>
      <c r="F81" s="82"/>
      <c r="G81" s="104"/>
      <c r="H81" s="82"/>
      <c r="I81" s="82"/>
    </row>
    <row r="82" spans="3:9" ht="18" customHeight="1" x14ac:dyDescent="0.3">
      <c r="C82" s="82"/>
      <c r="D82" s="101"/>
      <c r="E82" s="82"/>
      <c r="F82" s="82"/>
      <c r="G82" s="104"/>
      <c r="H82" s="82"/>
      <c r="I82" s="82"/>
    </row>
    <row r="83" spans="3:9" ht="18" customHeight="1" x14ac:dyDescent="0.25">
      <c r="D83" s="4"/>
      <c r="G83" s="20"/>
    </row>
    <row r="84" spans="3:9" ht="18" customHeight="1" x14ac:dyDescent="0.25">
      <c r="D84" s="4"/>
      <c r="G84" s="20"/>
    </row>
    <row r="85" spans="3:9" ht="18" customHeight="1" x14ac:dyDescent="0.25">
      <c r="D85" s="4"/>
      <c r="G85" s="20"/>
    </row>
    <row r="86" spans="3:9" ht="18" customHeight="1" x14ac:dyDescent="0.25">
      <c r="D86" s="4"/>
      <c r="G86" s="20"/>
    </row>
    <row r="87" spans="3:9" ht="18" customHeight="1" x14ac:dyDescent="0.25"/>
    <row r="88" spans="3:9" ht="18" customHeight="1" x14ac:dyDescent="0.25"/>
    <row r="89" spans="3:9" ht="18" customHeight="1" x14ac:dyDescent="0.25"/>
    <row r="95" spans="3:9" ht="15" customHeight="1" x14ac:dyDescent="0.25"/>
    <row r="116" spans="17:17" x14ac:dyDescent="0.25">
      <c r="Q116" s="1"/>
    </row>
  </sheetData>
  <mergeCells count="15">
    <mergeCell ref="D50:H50"/>
    <mergeCell ref="K4:O5"/>
    <mergeCell ref="K7:O8"/>
    <mergeCell ref="F34:F35"/>
    <mergeCell ref="D34:D35"/>
    <mergeCell ref="J21:O22"/>
    <mergeCell ref="C17:G18"/>
    <mergeCell ref="H34:H35"/>
    <mergeCell ref="H23:H25"/>
    <mergeCell ref="D15:G15"/>
    <mergeCell ref="D9:G9"/>
    <mergeCell ref="C21:H22"/>
    <mergeCell ref="C31:H32"/>
    <mergeCell ref="F23:F25"/>
    <mergeCell ref="G23:G24"/>
  </mergeCells>
  <conditionalFormatting sqref="G26:G28">
    <cfRule type="expression" dxfId="18" priority="2">
      <formula>$K$16="N/A"</formula>
    </cfRule>
    <cfRule type="cellIs" dxfId="17" priority="12" operator="equal">
      <formula>$K$16</formula>
    </cfRule>
    <cfRule type="iconSet" priority="13">
      <iconSet iconSet="3Symbols2">
        <cfvo type="percent" val="0"/>
        <cfvo type="formula" val="$K$16"/>
        <cfvo type="num" val="$K$16" gte="0"/>
      </iconSet>
    </cfRule>
    <cfRule type="cellIs" dxfId="16" priority="28" operator="lessThan">
      <formula>$K$16</formula>
    </cfRule>
    <cfRule type="cellIs" dxfId="15" priority="30" operator="greaterThanOrEqual">
      <formula>$K$16</formula>
    </cfRule>
  </conditionalFormatting>
  <conditionalFormatting sqref="G36:G48">
    <cfRule type="expression" dxfId="14" priority="1">
      <formula>$K$16="N/A"</formula>
    </cfRule>
    <cfRule type="iconSet" priority="6">
      <iconSet iconSet="3Symbols2">
        <cfvo type="percent" val="0"/>
        <cfvo type="formula" val="$K$16"/>
        <cfvo type="num" val="$K$16" gte="0"/>
      </iconSet>
    </cfRule>
    <cfRule type="cellIs" dxfId="13" priority="7" operator="equal">
      <formula>""</formula>
    </cfRule>
    <cfRule type="cellIs" dxfId="12" priority="8" operator="equal">
      <formula>$K$16</formula>
    </cfRule>
    <cfRule type="cellIs" dxfId="11" priority="9" operator="lessThan">
      <formula>$K$16</formula>
    </cfRule>
    <cfRule type="cellIs" dxfId="10" priority="10" operator="greaterThan">
      <formula>$K$16</formula>
    </cfRule>
  </conditionalFormatting>
  <pageMargins left="0.70866141732283472" right="0.70866141732283472" top="0.74803149606299213" bottom="0.74803149606299213" header="0.31496062992125984" footer="0.31496062992125984"/>
  <pageSetup paperSize="9" scale="50" orientation="landscape" r:id="rId1"/>
  <ignoredErrors>
    <ignoredError sqref="F26"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Lists!$A$61:$A$180</xm:f>
          </x14:formula1>
          <xm:sqref>D9</xm:sqref>
        </x14:dataValidation>
        <x14:dataValidation type="list" allowBlank="1" showInputMessage="1" showErrorMessage="1" xr:uid="{2F74DDDF-3352-41A8-BFAE-8770B00A5B96}">
          <x14:formula1>
            <xm:f>Lists!$A$11:$A$17</xm:f>
          </x14:formula1>
          <xm:sqref>D15:G15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124"/>
  <sheetViews>
    <sheetView showGridLines="0" zoomScale="75" zoomScaleNormal="75" workbookViewId="0">
      <selection activeCell="D9" sqref="D9:G9"/>
    </sheetView>
  </sheetViews>
  <sheetFormatPr defaultRowHeight="15" x14ac:dyDescent="0.25"/>
  <cols>
    <col min="1" max="1" width="3.85546875" customWidth="1"/>
    <col min="2" max="2" width="3" customWidth="1"/>
    <col min="3" max="3" width="3.5703125" customWidth="1"/>
    <col min="4" max="4" width="30" customWidth="1"/>
    <col min="5" max="7" width="20.42578125" customWidth="1"/>
    <col min="8" max="8" width="19.140625" bestFit="1" customWidth="1"/>
    <col min="9" max="9" width="7.5703125" customWidth="1"/>
    <col min="10" max="10" width="4" customWidth="1"/>
    <col min="11" max="11" width="50.140625" customWidth="1"/>
    <col min="12" max="12" width="17.42578125" bestFit="1" customWidth="1"/>
    <col min="13" max="13" width="16.5703125" customWidth="1"/>
    <col min="14" max="14" width="23.7109375" customWidth="1"/>
    <col min="15" max="15" width="19.28515625" bestFit="1" customWidth="1"/>
    <col min="16" max="16" width="18.140625" bestFit="1" customWidth="1"/>
    <col min="17" max="17" width="19.28515625" bestFit="1" customWidth="1"/>
  </cols>
  <sheetData>
    <row r="1" spans="2:10" ht="18" customHeight="1" x14ac:dyDescent="0.25"/>
    <row r="2" spans="2:10" ht="18" customHeight="1" x14ac:dyDescent="0.25"/>
    <row r="3" spans="2:10" ht="18" customHeight="1" x14ac:dyDescent="0.25"/>
    <row r="4" spans="2:10" ht="18" customHeight="1" x14ac:dyDescent="0.25"/>
    <row r="5" spans="2:10" ht="18" customHeight="1" x14ac:dyDescent="0.25">
      <c r="G5" s="33"/>
    </row>
    <row r="6" spans="2:10" ht="18" customHeight="1" x14ac:dyDescent="0.25"/>
    <row r="7" spans="2:10" ht="18" customHeight="1" x14ac:dyDescent="0.3">
      <c r="B7" s="82"/>
      <c r="C7" s="81" t="s">
        <v>296</v>
      </c>
      <c r="D7" s="82"/>
      <c r="E7" s="82"/>
      <c r="F7" s="83"/>
      <c r="G7" s="82"/>
      <c r="H7" s="82"/>
      <c r="I7" s="82"/>
    </row>
    <row r="8" spans="2:10" ht="18" customHeight="1" thickBot="1" x14ac:dyDescent="0.35">
      <c r="B8" s="82"/>
      <c r="C8" s="82"/>
      <c r="D8" s="82"/>
      <c r="E8" s="82"/>
      <c r="F8" s="83"/>
      <c r="G8" s="82"/>
      <c r="H8" s="82"/>
      <c r="I8" s="82"/>
    </row>
    <row r="9" spans="2:10" ht="18" customHeight="1" thickBot="1" x14ac:dyDescent="0.35">
      <c r="B9" s="82"/>
      <c r="C9" s="82"/>
      <c r="D9" s="182" t="s">
        <v>87</v>
      </c>
      <c r="E9" s="183"/>
      <c r="F9" s="183"/>
      <c r="G9" s="184"/>
      <c r="H9" s="82"/>
      <c r="I9" s="82"/>
    </row>
    <row r="10" spans="2:10" ht="18" customHeight="1" x14ac:dyDescent="0.3">
      <c r="B10" s="82"/>
      <c r="C10" s="82"/>
      <c r="D10" s="82"/>
      <c r="E10" s="82"/>
      <c r="F10" s="82"/>
      <c r="G10" s="82"/>
      <c r="H10" s="82"/>
      <c r="I10" s="82"/>
    </row>
    <row r="11" spans="2:10" ht="18" customHeight="1" x14ac:dyDescent="0.3">
      <c r="B11" s="82"/>
      <c r="C11" s="84" t="str">
        <f ca="1">"This selected Trust is within the "&amp;selected_trust_ptc_ca_name&amp;" Cancer Alliance."</f>
        <v>This selected Trust is within the West Yorkshire and Harrogate Cancer Alliance.</v>
      </c>
      <c r="D11" s="82"/>
      <c r="E11" s="82"/>
      <c r="F11" s="82"/>
      <c r="G11" s="82"/>
      <c r="H11" s="82"/>
      <c r="I11" s="82"/>
    </row>
    <row r="12" spans="2:10" ht="18" customHeight="1" x14ac:dyDescent="0.3">
      <c r="B12" s="82"/>
      <c r="C12" s="82"/>
      <c r="D12" s="82"/>
      <c r="E12" s="82"/>
      <c r="F12" s="83"/>
      <c r="G12" s="82"/>
      <c r="H12" s="82"/>
      <c r="I12" s="82"/>
    </row>
    <row r="13" spans="2:10" ht="18" customHeight="1" x14ac:dyDescent="0.3">
      <c r="B13" s="82"/>
      <c r="C13" s="114" t="str">
        <f>"Table 3:  Characteristics of people diagnosed with oesophago-gastric cancer in England between "&amp;start_date_england_char&amp;" and "&amp;end_date_england_char</f>
        <v>Table 3:  Characteristics of people diagnosed with oesophago-gastric cancer in England between 1 April 2022 and 31 March 2024</v>
      </c>
      <c r="D13" s="114"/>
      <c r="E13" s="114"/>
      <c r="F13" s="114"/>
      <c r="G13" s="114"/>
      <c r="H13" s="114"/>
      <c r="I13" s="83"/>
    </row>
    <row r="14" spans="2:10" ht="18" customHeight="1" x14ac:dyDescent="0.3">
      <c r="B14" s="82"/>
      <c r="C14" s="82"/>
      <c r="D14" s="82"/>
      <c r="E14" s="82"/>
      <c r="F14" s="82"/>
      <c r="G14" s="82"/>
      <c r="H14" s="82"/>
      <c r="I14" s="83"/>
      <c r="J14" t="s">
        <v>259</v>
      </c>
    </row>
    <row r="15" spans="2:10" ht="18" customHeight="1" x14ac:dyDescent="0.3">
      <c r="B15" s="82"/>
      <c r="C15" s="82"/>
      <c r="D15" s="188" t="s">
        <v>408</v>
      </c>
      <c r="E15" s="115" t="s">
        <v>294</v>
      </c>
      <c r="F15" s="115" t="s">
        <v>326</v>
      </c>
      <c r="G15" s="116" t="s">
        <v>293</v>
      </c>
      <c r="H15" s="82"/>
      <c r="I15" s="82"/>
    </row>
    <row r="16" spans="2:10" ht="18" customHeight="1" x14ac:dyDescent="0.3">
      <c r="B16" s="82"/>
      <c r="C16" s="82"/>
      <c r="D16" s="189"/>
      <c r="E16" s="90" t="s">
        <v>457</v>
      </c>
      <c r="F16" s="90" t="s">
        <v>457</v>
      </c>
      <c r="G16" s="129" t="s">
        <v>457</v>
      </c>
      <c r="H16" s="82"/>
      <c r="I16" s="82"/>
    </row>
    <row r="17" spans="2:9" ht="18" customHeight="1" x14ac:dyDescent="0.3">
      <c r="B17" s="82"/>
      <c r="C17" s="82"/>
      <c r="D17" s="117" t="s">
        <v>411</v>
      </c>
      <c r="E17" s="82"/>
      <c r="F17" s="82"/>
      <c r="G17" s="118"/>
      <c r="H17" s="82"/>
      <c r="I17" s="82"/>
    </row>
    <row r="18" spans="2:9" ht="18" customHeight="1" x14ac:dyDescent="0.3">
      <c r="B18" s="82"/>
      <c r="C18" s="82"/>
      <c r="D18" s="119" t="s">
        <v>409</v>
      </c>
      <c r="E18" s="120" t="str">
        <f ca="1">TEXT(INDEX(INDIRECT(trust_ptc_table),MATCH(selected_trust_ptc,INDIRECT(trust_ptc_rows),0),MATCH("p_genmale",INDIRECT(trust_ptc_cols),0)),0)</f>
        <v>69</v>
      </c>
      <c r="F18" s="120" t="str">
        <f ca="1">TEXT(INDEX(INDIRECT(alliance_ptc_table),MATCH(selected_trust_ptc_ca_name,INDIRECT(alliance_ptc_rows),0),MATCH("p_genmale",INDIRECT(alliance_ptc_cols),0)),0)</f>
        <v>67</v>
      </c>
      <c r="G18" s="121" t="str">
        <f ca="1">TEXT(INDEX(INDIRECT(national_ptc_row),1,MATCH("p_genmale",INDIRECT(national_ptc_cols),0)),0)</f>
        <v>68</v>
      </c>
      <c r="H18" s="82"/>
      <c r="I18" s="82"/>
    </row>
    <row r="19" spans="2:9" ht="18" customHeight="1" x14ac:dyDescent="0.3">
      <c r="B19" s="82"/>
      <c r="C19" s="82"/>
      <c r="D19" s="119" t="s">
        <v>410</v>
      </c>
      <c r="E19" s="120" t="str">
        <f ca="1">TEXT(INDEX(INDIRECT(trust_ptc_table),MATCH(selected_trust_ptc,INDIRECT(trust_ptc_rows),0),MATCH("p_genfemale",INDIRECT(trust_ptc_cols),0)),0)</f>
        <v>31</v>
      </c>
      <c r="F19" s="120" t="str">
        <f ca="1">TEXT(INDEX(INDIRECT(alliance_ptc_table),MATCH(selected_trust_ptc_ca_name,INDIRECT(alliance_ptc_rows),0),MATCH("p_genfemale",INDIRECT(alliance_ptc_cols),0)),0)</f>
        <v>33</v>
      </c>
      <c r="G19" s="121" t="str">
        <f ca="1">TEXT(INDEX(INDIRECT(national_ptc_row),1,MATCH("p_genfemale",INDIRECT(national_ptc_cols),0)),0)</f>
        <v>32</v>
      </c>
      <c r="H19" s="82"/>
      <c r="I19" s="82"/>
    </row>
    <row r="20" spans="2:9" ht="18" customHeight="1" x14ac:dyDescent="0.3">
      <c r="B20" s="82"/>
      <c r="C20" s="82"/>
      <c r="D20" s="122" t="s">
        <v>412</v>
      </c>
      <c r="E20" s="123"/>
      <c r="F20" s="123"/>
      <c r="G20" s="124"/>
      <c r="H20" s="82"/>
      <c r="I20" s="82"/>
    </row>
    <row r="21" spans="2:9" ht="18" customHeight="1" x14ac:dyDescent="0.3">
      <c r="B21" s="82"/>
      <c r="C21" s="82"/>
      <c r="D21" s="119" t="s">
        <v>413</v>
      </c>
      <c r="E21" s="120" t="str">
        <f ca="1">TEXT(INDEX(INDIRECT(trust_ptc_table),MATCH(selected_trust_ptc,INDIRECT(trust_ptc_rows),0),MATCH("p_age60",INDIRECT(trust_ptc_cols),0)),0)</f>
        <v>19</v>
      </c>
      <c r="F21" s="120" t="str">
        <f ca="1">TEXT(INDEX(INDIRECT(alliance_ptc_table),MATCH(selected_trust_ptc_ca_name,INDIRECT(alliance_ptc_rows),0),MATCH("p_age60",INDIRECT(alliance_ptc_cols),0)),0)</f>
        <v>16</v>
      </c>
      <c r="G21" s="121" t="str">
        <f ca="1">TEXT(INDEX(INDIRECT(national_ptc_row),1,MATCH("p_age60",INDIRECT(national_ptc_cols),0)),0)</f>
        <v>16</v>
      </c>
      <c r="H21" s="82"/>
      <c r="I21" s="82"/>
    </row>
    <row r="22" spans="2:9" ht="18" customHeight="1" x14ac:dyDescent="0.3">
      <c r="B22" s="82"/>
      <c r="C22" s="82"/>
      <c r="D22" s="119" t="s">
        <v>414</v>
      </c>
      <c r="E22" s="120" t="str">
        <f ca="1">TEXT(INDEX(INDIRECT(trust_ptc_table),MATCH(selected_trust_ptc,INDIRECT(trust_ptc_rows),0),MATCH("p_age70",INDIRECT(trust_ptc_cols),0)),0)</f>
        <v>16</v>
      </c>
      <c r="F22" s="120" t="str">
        <f ca="1">TEXT(INDEX(INDIRECT(alliance_ptc_table),MATCH(selected_trust_ptc_ca_name,INDIRECT(alliance_ptc_rows),0),MATCH("p_age70",INDIRECT(alliance_ptc_cols),0)),0)</f>
        <v>23</v>
      </c>
      <c r="G22" s="121" t="str">
        <f ca="1">TEXT(INDEX(INDIRECT(national_ptc_row),1,MATCH("p_age70",INDIRECT(national_ptc_cols),0)),0)</f>
        <v>23</v>
      </c>
      <c r="H22" s="82"/>
      <c r="I22" s="82"/>
    </row>
    <row r="23" spans="2:9" ht="18" customHeight="1" x14ac:dyDescent="0.3">
      <c r="B23" s="82"/>
      <c r="C23" s="82"/>
      <c r="D23" s="119" t="s">
        <v>415</v>
      </c>
      <c r="E23" s="120" t="str">
        <f ca="1">TEXT(INDEX(INDIRECT(trust_ptc_table),MATCH(selected_trust_ptc,INDIRECT(trust_ptc_rows),0),MATCH("p_age80",INDIRECT(trust_ptc_cols),0)),0)</f>
        <v>41</v>
      </c>
      <c r="F23" s="120" t="str">
        <f ca="1">TEXT(INDEX(INDIRECT(alliance_ptc_table),MATCH(selected_trust_ptc_ca_name,INDIRECT(alliance_ptc_rows),0),MATCH("p_age80",INDIRECT(alliance_ptc_cols),0)),0)</f>
        <v>35</v>
      </c>
      <c r="G23" s="121" t="str">
        <f ca="1">TEXT(INDEX(INDIRECT(national_ptc_row),1,MATCH("p_age80",INDIRECT(national_ptc_cols),0)),0)</f>
        <v>35</v>
      </c>
      <c r="H23" s="82"/>
      <c r="I23" s="82"/>
    </row>
    <row r="24" spans="2:9" ht="18" customHeight="1" x14ac:dyDescent="0.3">
      <c r="B24" s="82"/>
      <c r="C24" s="82"/>
      <c r="D24" s="119" t="s">
        <v>416</v>
      </c>
      <c r="E24" s="120" t="str">
        <f ca="1">TEXT(INDEX(INDIRECT(trust_ptc_table),MATCH(selected_trust_ptc,INDIRECT(trust_ptc_rows),0),MATCH("p_age80plus",INDIRECT(trust_ptc_cols),0)),0)</f>
        <v>24</v>
      </c>
      <c r="F24" s="120" t="str">
        <f ca="1">TEXT(INDEX(INDIRECT(alliance_ptc_table),MATCH(selected_trust_ptc_ca_name,INDIRECT(alliance_ptc_rows),0),MATCH("p_age80plus",INDIRECT(alliance_ptc_cols),0)),0)</f>
        <v>25</v>
      </c>
      <c r="G24" s="121" t="str">
        <f ca="1">TEXT(INDEX(INDIRECT(national_ptc_row),1,MATCH("p_age80plus",INDIRECT(national_ptc_cols),0)),0)</f>
        <v>27</v>
      </c>
      <c r="H24" s="82"/>
      <c r="I24" s="82"/>
    </row>
    <row r="25" spans="2:9" ht="18" customHeight="1" x14ac:dyDescent="0.3">
      <c r="B25" s="82"/>
      <c r="C25" s="82"/>
      <c r="D25" s="122" t="s">
        <v>341</v>
      </c>
      <c r="E25" s="123"/>
      <c r="F25" s="123"/>
      <c r="G25" s="125"/>
      <c r="H25" s="82"/>
      <c r="I25" s="82"/>
    </row>
    <row r="26" spans="2:9" ht="18" customHeight="1" x14ac:dyDescent="0.3">
      <c r="B26" s="82"/>
      <c r="C26" s="82"/>
      <c r="D26" s="119" t="s">
        <v>291</v>
      </c>
      <c r="E26" s="120" t="str">
        <f ca="1">TEXT(INDEX(INDIRECT(trust_ptc_table),MATCH(selected_trust_ptc,INDIRECT(trust_ptc_rows),0),MATCH("p_imdmost",INDIRECT(trust_ptc_cols),0)),0)</f>
        <v>20</v>
      </c>
      <c r="F26" s="120" t="str">
        <f ca="1">TEXT(INDEX(INDIRECT(alliance_ptc_table),MATCH(selected_trust_ptc_ca_name,INDIRECT(alliance_ptc_rows),0),MATCH("p_imdmost",INDIRECT(alliance_ptc_cols),0)),0)</f>
        <v>29</v>
      </c>
      <c r="G26" s="121" t="str">
        <f ca="1">TEXT(INDEX(INDIRECT(national_ptc_row),1,MATCH("p_imdmost",INDIRECT(national_ptc_cols),0)),0)</f>
        <v>20</v>
      </c>
      <c r="H26" s="82"/>
      <c r="I26" s="82"/>
    </row>
    <row r="27" spans="2:9" ht="18" customHeight="1" x14ac:dyDescent="0.3">
      <c r="B27" s="82"/>
      <c r="C27" s="82"/>
      <c r="D27" s="119">
        <v>2</v>
      </c>
      <c r="E27" s="120" t="str">
        <f ca="1">TEXT(INDEX(INDIRECT(trust_ptc_table),MATCH(selected_trust_ptc,INDIRECT(trust_ptc_rows),0),MATCH("p_imd2",INDIRECT(trust_ptc_cols),0)),0)</f>
        <v>18</v>
      </c>
      <c r="F27" s="120" t="str">
        <f ca="1">TEXT(INDEX(INDIRECT(alliance_ptc_table),MATCH(selected_trust_ptc_ca_name,INDIRECT(alliance_ptc_rows),0),MATCH("p_imd2",INDIRECT(alliance_ptc_cols),0)),0)</f>
        <v>17</v>
      </c>
      <c r="G27" s="121" t="str">
        <f ca="1">TEXT(INDEX(INDIRECT(national_ptc_row),1,MATCH("p_imd2",INDIRECT(national_ptc_cols),0)),0)</f>
        <v>20</v>
      </c>
      <c r="H27" s="82"/>
      <c r="I27" s="82"/>
    </row>
    <row r="28" spans="2:9" ht="18" customHeight="1" x14ac:dyDescent="0.3">
      <c r="B28" s="82"/>
      <c r="C28" s="82"/>
      <c r="D28" s="119">
        <v>3</v>
      </c>
      <c r="E28" s="120" t="str">
        <f ca="1">TEXT(INDEX(INDIRECT(trust_ptc_table),MATCH(selected_trust_ptc,INDIRECT(trust_ptc_rows),0),MATCH("p_imd3",INDIRECT(trust_ptc_cols),0)),0)</f>
        <v>30</v>
      </c>
      <c r="F28" s="120" t="str">
        <f ca="1">TEXT(INDEX(INDIRECT(alliance_ptc_table),MATCH(selected_trust_ptc_ca_name,INDIRECT(alliance_ptc_rows),0),MATCH("p_imd3",INDIRECT(alliance_ptc_cols),0)),0)</f>
        <v>20</v>
      </c>
      <c r="G28" s="121" t="str">
        <f ca="1">TEXT(INDEX(INDIRECT(national_ptc_row),1,MATCH("p_imd3",INDIRECT(national_ptc_cols),0)),0)</f>
        <v>21</v>
      </c>
      <c r="H28" s="82"/>
      <c r="I28" s="82"/>
    </row>
    <row r="29" spans="2:9" ht="18" customHeight="1" x14ac:dyDescent="0.3">
      <c r="B29" s="82"/>
      <c r="C29" s="82"/>
      <c r="D29" s="119">
        <v>4</v>
      </c>
      <c r="E29" s="120" t="str">
        <f ca="1">TEXT(INDEX(INDIRECT(trust_ptc_table),MATCH(selected_trust_ptc,INDIRECT(trust_ptc_rows),0),MATCH("p_imd4",INDIRECT(trust_ptc_cols),0)),0)</f>
        <v>19</v>
      </c>
      <c r="F29" s="120" t="str">
        <f ca="1">TEXT(INDEX(INDIRECT(alliance_ptc_table),MATCH(selected_trust_ptc_ca_name,INDIRECT(alliance_ptc_rows),0),MATCH("p_imd4",INDIRECT(alliance_ptc_cols),0)),0)</f>
        <v>19</v>
      </c>
      <c r="G29" s="121" t="str">
        <f ca="1">TEXT(INDEX(INDIRECT(national_ptc_row),1,MATCH("p_imd4",INDIRECT(national_ptc_cols),0)),0)</f>
        <v>20</v>
      </c>
      <c r="H29" s="82"/>
      <c r="I29" s="82"/>
    </row>
    <row r="30" spans="2:9" ht="18" customHeight="1" x14ac:dyDescent="0.3">
      <c r="B30" s="82"/>
      <c r="C30" s="82"/>
      <c r="D30" s="126" t="s">
        <v>292</v>
      </c>
      <c r="E30" s="127" t="str">
        <f ca="1">TEXT(INDEX(INDIRECT(trust_ptc_table),MATCH(selected_trust_ptc,INDIRECT(trust_ptc_rows),0),MATCH("p_imdleast",INDIRECT(trust_ptc_cols),0)),0)</f>
        <v>13</v>
      </c>
      <c r="F30" s="127" t="str">
        <f ca="1">TEXT(INDEX(INDIRECT(alliance_ptc_table),MATCH(selected_trust_ptc_ca_name,INDIRECT(alliance_ptc_rows),0),MATCH("p_imdleast",INDIRECT(alliance_ptc_cols),0)),0)</f>
        <v>15</v>
      </c>
      <c r="G30" s="128" t="str">
        <f ca="1">TEXT(INDEX(INDIRECT(national_ptc_row),1,MATCH("p_imdleast",INDIRECT(national_ptc_cols),0)),0)</f>
        <v>19</v>
      </c>
      <c r="H30" s="82"/>
      <c r="I30" s="82"/>
    </row>
    <row r="31" spans="2:9" ht="18" customHeight="1" x14ac:dyDescent="0.3">
      <c r="B31" s="82"/>
      <c r="C31" s="82"/>
      <c r="D31" s="139" t="s">
        <v>458</v>
      </c>
      <c r="E31" s="82"/>
      <c r="F31" s="82"/>
      <c r="G31" s="82"/>
      <c r="H31" s="82"/>
      <c r="I31" s="82"/>
    </row>
    <row r="32" spans="2:9" ht="18" customHeight="1" x14ac:dyDescent="0.3">
      <c r="B32" s="82"/>
      <c r="C32" s="82"/>
      <c r="D32" s="82"/>
      <c r="E32" s="82"/>
      <c r="F32" s="82"/>
      <c r="G32" s="82"/>
      <c r="H32" s="82"/>
      <c r="I32" s="82"/>
    </row>
    <row r="33" spans="2:9" ht="18" customHeight="1" x14ac:dyDescent="0.3">
      <c r="B33" s="82"/>
      <c r="C33" s="82"/>
      <c r="D33" s="82"/>
      <c r="E33" s="82"/>
      <c r="F33" s="82"/>
      <c r="G33" s="82"/>
      <c r="H33" s="82"/>
      <c r="I33" s="82"/>
    </row>
    <row r="34" spans="2:9" ht="18" customHeight="1" x14ac:dyDescent="0.3">
      <c r="B34" s="82"/>
      <c r="C34" s="82"/>
      <c r="D34" s="82"/>
      <c r="E34" s="82"/>
      <c r="F34" s="82"/>
      <c r="G34" s="82"/>
      <c r="H34" s="82"/>
      <c r="I34" s="82"/>
    </row>
    <row r="35" spans="2:9" ht="18" customHeight="1" x14ac:dyDescent="0.3">
      <c r="B35" s="82"/>
      <c r="C35" s="82"/>
      <c r="D35" s="82"/>
      <c r="E35" s="82"/>
      <c r="F35" s="82"/>
      <c r="G35" s="82"/>
      <c r="H35" s="82"/>
      <c r="I35" s="82"/>
    </row>
    <row r="36" spans="2:9" ht="18" customHeight="1" x14ac:dyDescent="0.3">
      <c r="B36" s="82"/>
      <c r="C36" s="82"/>
      <c r="D36" s="82"/>
      <c r="E36" s="82"/>
      <c r="F36" s="82"/>
      <c r="G36" s="82"/>
      <c r="H36" s="82"/>
      <c r="I36" s="82"/>
    </row>
    <row r="37" spans="2:9" ht="18" customHeight="1" x14ac:dyDescent="0.3">
      <c r="B37" s="82"/>
      <c r="C37" s="82"/>
      <c r="D37" s="82"/>
      <c r="E37" s="82"/>
      <c r="F37" s="82"/>
      <c r="G37" s="82"/>
      <c r="H37" s="82"/>
      <c r="I37" s="82"/>
    </row>
    <row r="38" spans="2:9" ht="18" customHeight="1" x14ac:dyDescent="0.3">
      <c r="B38" s="82"/>
      <c r="C38" s="82"/>
      <c r="D38" s="82"/>
      <c r="E38" s="82"/>
      <c r="F38" s="82"/>
      <c r="G38" s="82"/>
      <c r="H38" s="82"/>
      <c r="I38" s="82"/>
    </row>
    <row r="39" spans="2:9" ht="18" customHeight="1" x14ac:dyDescent="0.3">
      <c r="B39" s="82"/>
      <c r="C39" s="82"/>
      <c r="D39" s="82"/>
      <c r="E39" s="82"/>
      <c r="F39" s="82"/>
      <c r="G39" s="82"/>
      <c r="H39" s="82"/>
      <c r="I39" s="82"/>
    </row>
    <row r="40" spans="2:9" ht="18" customHeight="1" x14ac:dyDescent="0.3">
      <c r="B40" s="82"/>
      <c r="C40" s="82"/>
      <c r="D40" s="82"/>
      <c r="E40" s="82"/>
      <c r="F40" s="82"/>
      <c r="G40" s="82"/>
      <c r="H40" s="82"/>
      <c r="I40" s="82"/>
    </row>
    <row r="41" spans="2:9" ht="18" customHeight="1" x14ac:dyDescent="0.3">
      <c r="B41" s="82"/>
      <c r="C41" s="82"/>
      <c r="D41" s="82"/>
      <c r="E41" s="82"/>
      <c r="F41" s="82"/>
      <c r="G41" s="82"/>
      <c r="H41" s="82"/>
      <c r="I41" s="82"/>
    </row>
    <row r="42" spans="2:9" ht="18" customHeight="1" x14ac:dyDescent="0.3">
      <c r="B42" s="82"/>
      <c r="C42" s="82"/>
      <c r="D42" s="82"/>
      <c r="E42" s="82"/>
      <c r="F42" s="82"/>
      <c r="G42" s="82"/>
      <c r="H42" s="82"/>
      <c r="I42" s="82"/>
    </row>
    <row r="43" spans="2:9" ht="18" customHeight="1" x14ac:dyDescent="0.3">
      <c r="B43" s="82"/>
      <c r="C43" s="82"/>
      <c r="D43" s="82"/>
      <c r="E43" s="82"/>
      <c r="F43" s="82"/>
      <c r="G43" s="82"/>
      <c r="H43" s="82"/>
      <c r="I43" s="82"/>
    </row>
    <row r="44" spans="2:9" ht="18" customHeight="1" x14ac:dyDescent="0.3">
      <c r="B44" s="82"/>
      <c r="C44" s="82"/>
      <c r="D44" s="82"/>
      <c r="E44" s="82"/>
      <c r="F44" s="82"/>
      <c r="G44" s="82"/>
      <c r="H44" s="82"/>
      <c r="I44" s="82"/>
    </row>
    <row r="45" spans="2:9" ht="18" customHeight="1" x14ac:dyDescent="0.3">
      <c r="B45" s="82"/>
      <c r="C45" s="82"/>
      <c r="D45" s="82"/>
      <c r="E45" s="82"/>
      <c r="F45" s="82"/>
      <c r="G45" s="82"/>
      <c r="H45" s="82"/>
      <c r="I45" s="82"/>
    </row>
    <row r="46" spans="2:9" ht="18" customHeight="1" x14ac:dyDescent="0.3">
      <c r="B46" s="82"/>
      <c r="C46" s="82"/>
      <c r="D46" s="82"/>
      <c r="E46" s="82"/>
      <c r="F46" s="82"/>
      <c r="G46" s="82"/>
      <c r="H46" s="82"/>
      <c r="I46" s="82"/>
    </row>
    <row r="47" spans="2:9" ht="18" customHeight="1" x14ac:dyDescent="0.3">
      <c r="B47" s="82"/>
      <c r="C47" s="82"/>
      <c r="D47" s="82"/>
      <c r="E47" s="82"/>
      <c r="F47" s="82"/>
      <c r="G47" s="82"/>
      <c r="H47" s="82"/>
      <c r="I47" s="82"/>
    </row>
    <row r="48" spans="2:9" ht="18" customHeight="1" x14ac:dyDescent="0.3">
      <c r="B48" s="82"/>
      <c r="C48" s="82"/>
      <c r="D48" s="82"/>
      <c r="E48" s="82"/>
      <c r="F48" s="82"/>
      <c r="G48" s="82"/>
      <c r="H48" s="82"/>
      <c r="I48" s="82"/>
    </row>
    <row r="49" spans="2:9" ht="18" customHeight="1" x14ac:dyDescent="0.3">
      <c r="B49" s="82"/>
      <c r="C49" s="82"/>
      <c r="D49" s="82"/>
      <c r="E49" s="82"/>
      <c r="F49" s="82"/>
      <c r="G49" s="82"/>
      <c r="H49" s="82"/>
      <c r="I49" s="82"/>
    </row>
    <row r="50" spans="2:9" ht="18" customHeight="1" x14ac:dyDescent="0.3">
      <c r="B50" s="82"/>
      <c r="C50" s="82"/>
      <c r="D50" s="82"/>
      <c r="E50" s="82"/>
      <c r="F50" s="82"/>
      <c r="G50" s="82"/>
      <c r="H50" s="82"/>
      <c r="I50" s="82"/>
    </row>
    <row r="51" spans="2:9" ht="18" customHeight="1" x14ac:dyDescent="0.3">
      <c r="B51" s="82"/>
      <c r="C51" s="82"/>
      <c r="D51" s="82"/>
      <c r="E51" s="82"/>
      <c r="F51" s="82"/>
      <c r="G51" s="82"/>
      <c r="H51" s="82"/>
      <c r="I51" s="82"/>
    </row>
    <row r="52" spans="2:9" ht="18" customHeight="1" x14ac:dyDescent="0.3">
      <c r="B52" s="82"/>
      <c r="C52" s="82"/>
      <c r="D52" s="82"/>
      <c r="E52" s="82"/>
      <c r="F52" s="82"/>
      <c r="G52" s="82"/>
      <c r="H52" s="82"/>
      <c r="I52" s="82"/>
    </row>
    <row r="53" spans="2:9" ht="18" customHeight="1" x14ac:dyDescent="0.3">
      <c r="B53" s="82"/>
      <c r="C53" s="82"/>
      <c r="D53" s="82"/>
      <c r="E53" s="82"/>
      <c r="F53" s="82"/>
      <c r="G53" s="82"/>
      <c r="H53" s="82"/>
      <c r="I53" s="82"/>
    </row>
    <row r="54" spans="2:9" ht="18" customHeight="1" x14ac:dyDescent="0.3">
      <c r="B54" s="82"/>
      <c r="C54" s="82"/>
      <c r="D54" s="82"/>
      <c r="E54" s="82"/>
      <c r="F54" s="82"/>
      <c r="G54" s="82"/>
      <c r="H54" s="82"/>
      <c r="I54" s="82"/>
    </row>
    <row r="55" spans="2:9" ht="18" customHeight="1" x14ac:dyDescent="0.3">
      <c r="B55" s="82"/>
      <c r="C55" s="82"/>
      <c r="D55" s="82"/>
      <c r="E55" s="82"/>
      <c r="F55" s="82"/>
      <c r="G55" s="82"/>
      <c r="H55" s="82"/>
      <c r="I55" s="82"/>
    </row>
    <row r="56" spans="2:9" ht="18" customHeight="1" x14ac:dyDescent="0.3">
      <c r="B56" s="82"/>
      <c r="C56" s="82"/>
      <c r="D56" s="82"/>
      <c r="E56" s="82"/>
      <c r="F56" s="82"/>
      <c r="G56" s="82"/>
      <c r="H56" s="82"/>
      <c r="I56" s="82"/>
    </row>
    <row r="57" spans="2:9" ht="18" customHeight="1" x14ac:dyDescent="0.3">
      <c r="B57" s="82"/>
      <c r="C57" s="82"/>
      <c r="D57" s="82"/>
      <c r="E57" s="82"/>
      <c r="F57" s="82"/>
      <c r="G57" s="82"/>
      <c r="H57" s="82"/>
      <c r="I57" s="82"/>
    </row>
    <row r="58" spans="2:9" ht="18" customHeight="1" x14ac:dyDescent="0.3">
      <c r="B58" s="82"/>
      <c r="C58" s="82"/>
      <c r="D58" s="82"/>
      <c r="E58" s="82"/>
      <c r="F58" s="82"/>
      <c r="G58" s="82"/>
      <c r="H58" s="82"/>
      <c r="I58" s="82"/>
    </row>
    <row r="59" spans="2:9" ht="18" customHeight="1" x14ac:dyDescent="0.3">
      <c r="B59" s="82"/>
      <c r="C59" s="82"/>
      <c r="D59" s="82"/>
      <c r="E59" s="82"/>
      <c r="F59" s="82"/>
      <c r="G59" s="82"/>
      <c r="H59" s="82"/>
      <c r="I59" s="82"/>
    </row>
    <row r="60" spans="2:9" ht="18" customHeight="1" x14ac:dyDescent="0.3">
      <c r="B60" s="82"/>
      <c r="C60" s="82"/>
      <c r="D60" s="82"/>
      <c r="E60" s="82"/>
      <c r="F60" s="82"/>
      <c r="G60" s="82"/>
      <c r="H60" s="82"/>
      <c r="I60" s="82"/>
    </row>
    <row r="61" spans="2:9" ht="18" customHeight="1" x14ac:dyDescent="0.3">
      <c r="B61" s="82"/>
      <c r="C61" s="82"/>
      <c r="D61" s="82"/>
      <c r="E61" s="82"/>
      <c r="F61" s="82"/>
      <c r="G61" s="82"/>
      <c r="H61" s="82"/>
      <c r="I61" s="82"/>
    </row>
    <row r="62" spans="2:9" ht="18" customHeight="1" x14ac:dyDescent="0.3">
      <c r="B62" s="82"/>
      <c r="C62" s="82"/>
      <c r="D62" s="82"/>
      <c r="E62" s="82"/>
      <c r="F62" s="82"/>
      <c r="G62" s="82"/>
      <c r="H62" s="82"/>
      <c r="I62" s="82"/>
    </row>
    <row r="63" spans="2:9" ht="18" customHeight="1" x14ac:dyDescent="0.3">
      <c r="B63" s="82"/>
      <c r="C63" s="82"/>
      <c r="D63" s="82"/>
      <c r="E63" s="82"/>
      <c r="F63" s="82"/>
      <c r="G63" s="82"/>
      <c r="H63" s="82"/>
      <c r="I63" s="82"/>
    </row>
    <row r="64" spans="2:9" ht="18" customHeight="1" x14ac:dyDescent="0.3">
      <c r="B64" s="82"/>
      <c r="C64" s="82"/>
      <c r="D64" s="82"/>
      <c r="E64" s="82"/>
      <c r="F64" s="82"/>
      <c r="G64" s="82"/>
      <c r="H64" s="82"/>
      <c r="I64" s="82"/>
    </row>
    <row r="65" spans="2:9" ht="18" customHeight="1" x14ac:dyDescent="0.3">
      <c r="B65" s="82"/>
      <c r="C65" s="82"/>
      <c r="D65" s="82"/>
      <c r="E65" s="82"/>
      <c r="F65" s="82"/>
      <c r="G65" s="82"/>
      <c r="H65" s="82"/>
      <c r="I65" s="82"/>
    </row>
    <row r="66" spans="2:9" ht="18" customHeight="1" x14ac:dyDescent="0.3">
      <c r="B66" s="82"/>
      <c r="C66" s="82"/>
      <c r="D66" s="82"/>
      <c r="E66" s="82"/>
      <c r="F66" s="82"/>
      <c r="G66" s="82"/>
      <c r="H66" s="82"/>
      <c r="I66" s="82"/>
    </row>
    <row r="67" spans="2:9" ht="18" customHeight="1" x14ac:dyDescent="0.3">
      <c r="B67" s="82"/>
      <c r="C67" s="82"/>
      <c r="D67" s="82"/>
      <c r="E67" s="82"/>
      <c r="F67" s="82"/>
      <c r="G67" s="82"/>
      <c r="H67" s="82"/>
      <c r="I67" s="82"/>
    </row>
    <row r="68" spans="2:9" ht="18" customHeight="1" x14ac:dyDescent="0.3">
      <c r="B68" s="82"/>
      <c r="C68" s="82"/>
      <c r="D68" s="82"/>
      <c r="E68" s="82"/>
      <c r="F68" s="82"/>
      <c r="G68" s="82"/>
      <c r="H68" s="82"/>
      <c r="I68" s="82"/>
    </row>
    <row r="69" spans="2:9" ht="18" customHeight="1" x14ac:dyDescent="0.3">
      <c r="B69" s="82"/>
      <c r="C69" s="82"/>
      <c r="D69" s="82"/>
      <c r="E69" s="82"/>
      <c r="F69" s="82"/>
      <c r="G69" s="82"/>
      <c r="H69" s="82"/>
      <c r="I69" s="82"/>
    </row>
    <row r="70" spans="2:9" ht="18" customHeight="1" x14ac:dyDescent="0.3">
      <c r="B70" s="82"/>
      <c r="C70" s="82"/>
      <c r="D70" s="82"/>
      <c r="E70" s="82"/>
      <c r="F70" s="82"/>
      <c r="G70" s="82"/>
      <c r="H70" s="82"/>
      <c r="I70" s="82"/>
    </row>
    <row r="71" spans="2:9" ht="18" customHeight="1" x14ac:dyDescent="0.3">
      <c r="B71" s="82"/>
      <c r="C71" s="82"/>
      <c r="D71" s="82"/>
      <c r="E71" s="82"/>
      <c r="F71" s="82"/>
      <c r="G71" s="82"/>
      <c r="H71" s="82"/>
      <c r="I71" s="82"/>
    </row>
    <row r="72" spans="2:9" ht="18" customHeight="1" x14ac:dyDescent="0.3">
      <c r="B72" s="82"/>
      <c r="C72" s="82"/>
      <c r="D72" s="82"/>
      <c r="E72" s="82"/>
      <c r="F72" s="82"/>
      <c r="G72" s="82"/>
      <c r="H72" s="82"/>
      <c r="I72" s="82"/>
    </row>
    <row r="73" spans="2:9" ht="18" customHeight="1" x14ac:dyDescent="0.3">
      <c r="B73" s="82"/>
      <c r="C73" s="82"/>
      <c r="D73" s="82"/>
      <c r="E73" s="82"/>
      <c r="F73" s="82"/>
      <c r="G73" s="82"/>
      <c r="H73" s="82"/>
      <c r="I73" s="82"/>
    </row>
    <row r="74" spans="2:9" ht="18" customHeight="1" x14ac:dyDescent="0.3">
      <c r="B74" s="82"/>
      <c r="C74" s="82"/>
      <c r="D74" s="82"/>
      <c r="E74" s="82"/>
      <c r="F74" s="82"/>
      <c r="G74" s="82"/>
      <c r="H74" s="82"/>
      <c r="I74" s="82"/>
    </row>
    <row r="75" spans="2:9" ht="18" customHeight="1" x14ac:dyDescent="0.3">
      <c r="B75" s="82"/>
      <c r="C75" s="82"/>
      <c r="D75" s="82"/>
      <c r="E75" s="82"/>
      <c r="F75" s="82"/>
      <c r="G75" s="82"/>
      <c r="H75" s="82"/>
      <c r="I75" s="82"/>
    </row>
    <row r="76" spans="2:9" ht="18" customHeight="1" x14ac:dyDescent="0.3">
      <c r="B76" s="82"/>
      <c r="C76" s="82"/>
      <c r="D76" s="82"/>
      <c r="E76" s="82"/>
      <c r="F76" s="82"/>
      <c r="G76" s="82"/>
      <c r="H76" s="82"/>
      <c r="I76" s="82"/>
    </row>
    <row r="77" spans="2:9" ht="18" customHeight="1" x14ac:dyDescent="0.3">
      <c r="B77" s="82"/>
      <c r="C77" s="82"/>
      <c r="D77" s="82"/>
      <c r="E77" s="82"/>
      <c r="F77" s="82"/>
      <c r="G77" s="82"/>
      <c r="H77" s="82"/>
      <c r="I77" s="82"/>
    </row>
    <row r="78" spans="2:9" ht="18" customHeight="1" x14ac:dyDescent="0.3">
      <c r="B78" s="82"/>
      <c r="C78" s="82"/>
      <c r="D78" s="82"/>
      <c r="E78" s="82"/>
      <c r="F78" s="82"/>
      <c r="G78" s="82"/>
      <c r="H78" s="82"/>
      <c r="I78" s="82"/>
    </row>
    <row r="79" spans="2:9" ht="18" customHeight="1" x14ac:dyDescent="0.3">
      <c r="B79" s="82"/>
      <c r="C79" s="82"/>
      <c r="D79" s="82"/>
      <c r="E79" s="82"/>
      <c r="F79" s="82"/>
      <c r="G79" s="82"/>
      <c r="H79" s="82"/>
      <c r="I79" s="82"/>
    </row>
    <row r="80" spans="2:9" ht="18" customHeight="1" x14ac:dyDescent="0.3">
      <c r="B80" s="82"/>
      <c r="C80" s="82"/>
      <c r="D80" s="82"/>
      <c r="E80" s="82"/>
      <c r="F80" s="82"/>
      <c r="G80" s="82"/>
      <c r="H80" s="82"/>
      <c r="I80" s="82"/>
    </row>
    <row r="81" spans="2:9" ht="18" customHeight="1" x14ac:dyDescent="0.3">
      <c r="B81" s="82"/>
      <c r="C81" s="82"/>
      <c r="D81" s="82"/>
      <c r="E81" s="82"/>
      <c r="F81" s="82"/>
      <c r="G81" s="82"/>
      <c r="H81" s="82"/>
      <c r="I81" s="82"/>
    </row>
    <row r="82" spans="2:9" ht="18.75" x14ac:dyDescent="0.3">
      <c r="B82" s="82"/>
      <c r="C82" s="82"/>
      <c r="D82" s="82"/>
      <c r="E82" s="82"/>
      <c r="F82" s="82"/>
      <c r="G82" s="82"/>
      <c r="H82" s="82"/>
      <c r="I82" s="82"/>
    </row>
    <row r="83" spans="2:9" ht="18.75" x14ac:dyDescent="0.3">
      <c r="B83" s="82"/>
      <c r="C83" s="82"/>
      <c r="D83" s="82"/>
      <c r="E83" s="82"/>
      <c r="F83" s="82"/>
      <c r="G83" s="82"/>
      <c r="H83" s="82"/>
      <c r="I83" s="82"/>
    </row>
    <row r="84" spans="2:9" ht="18.75" x14ac:dyDescent="0.3">
      <c r="B84" s="82"/>
      <c r="C84" s="82"/>
      <c r="D84" s="82"/>
      <c r="E84" s="82"/>
      <c r="F84" s="82"/>
      <c r="G84" s="82"/>
      <c r="H84" s="82"/>
      <c r="I84" s="82"/>
    </row>
    <row r="85" spans="2:9" ht="18.75" x14ac:dyDescent="0.3">
      <c r="B85" s="82"/>
      <c r="C85" s="82"/>
      <c r="D85" s="82"/>
      <c r="E85" s="82"/>
      <c r="F85" s="82"/>
      <c r="G85" s="82"/>
      <c r="H85" s="82"/>
      <c r="I85" s="82"/>
    </row>
    <row r="86" spans="2:9" ht="18.75" x14ac:dyDescent="0.3">
      <c r="B86" s="82"/>
      <c r="C86" s="82"/>
      <c r="D86" s="82"/>
      <c r="E86" s="82"/>
      <c r="F86" s="82"/>
      <c r="G86" s="82"/>
      <c r="H86" s="82"/>
      <c r="I86" s="82"/>
    </row>
    <row r="87" spans="2:9" ht="18.75" x14ac:dyDescent="0.3">
      <c r="B87" s="82"/>
      <c r="C87" s="82"/>
      <c r="D87" s="82"/>
      <c r="E87" s="82"/>
      <c r="F87" s="82"/>
      <c r="G87" s="82"/>
      <c r="H87" s="82"/>
      <c r="I87" s="82"/>
    </row>
    <row r="88" spans="2:9" ht="18.75" x14ac:dyDescent="0.3">
      <c r="B88" s="82"/>
      <c r="C88" s="82"/>
      <c r="D88" s="82"/>
      <c r="E88" s="82"/>
      <c r="F88" s="82"/>
      <c r="G88" s="82"/>
      <c r="H88" s="82"/>
      <c r="I88" s="82"/>
    </row>
    <row r="89" spans="2:9" ht="18.75" x14ac:dyDescent="0.3">
      <c r="B89" s="82"/>
      <c r="C89" s="82"/>
      <c r="D89" s="82"/>
      <c r="E89" s="82"/>
      <c r="F89" s="82"/>
      <c r="G89" s="82"/>
      <c r="H89" s="82"/>
      <c r="I89" s="82"/>
    </row>
    <row r="90" spans="2:9" ht="18.75" x14ac:dyDescent="0.3">
      <c r="B90" s="82"/>
      <c r="C90" s="82"/>
      <c r="D90" s="82"/>
      <c r="E90" s="82"/>
      <c r="F90" s="82"/>
      <c r="G90" s="82"/>
      <c r="H90" s="82"/>
      <c r="I90" s="82"/>
    </row>
    <row r="91" spans="2:9" ht="18.75" x14ac:dyDescent="0.3">
      <c r="B91" s="82"/>
      <c r="C91" s="82"/>
      <c r="D91" s="82"/>
      <c r="E91" s="82"/>
      <c r="F91" s="82"/>
      <c r="G91" s="82"/>
      <c r="H91" s="82"/>
      <c r="I91" s="82"/>
    </row>
    <row r="92" spans="2:9" ht="18.75" x14ac:dyDescent="0.3">
      <c r="B92" s="82"/>
      <c r="C92" s="82"/>
      <c r="D92" s="82"/>
      <c r="E92" s="82"/>
      <c r="F92" s="82"/>
      <c r="G92" s="82"/>
      <c r="H92" s="82"/>
      <c r="I92" s="82"/>
    </row>
    <row r="93" spans="2:9" ht="18.75" x14ac:dyDescent="0.3">
      <c r="B93" s="82"/>
      <c r="C93" s="82"/>
      <c r="D93" s="82"/>
      <c r="E93" s="82"/>
      <c r="F93" s="82"/>
      <c r="G93" s="82"/>
      <c r="H93" s="82"/>
      <c r="I93" s="82"/>
    </row>
    <row r="94" spans="2:9" ht="18.75" x14ac:dyDescent="0.3">
      <c r="B94" s="82"/>
      <c r="C94" s="82"/>
      <c r="D94" s="82"/>
      <c r="E94" s="82"/>
      <c r="F94" s="82"/>
      <c r="G94" s="82"/>
      <c r="H94" s="82"/>
      <c r="I94" s="82"/>
    </row>
    <row r="95" spans="2:9" ht="18.75" x14ac:dyDescent="0.3">
      <c r="B95" s="82"/>
      <c r="C95" s="82"/>
      <c r="D95" s="82"/>
      <c r="E95" s="82"/>
      <c r="F95" s="82"/>
      <c r="G95" s="82"/>
      <c r="H95" s="82"/>
      <c r="I95" s="82"/>
    </row>
    <row r="96" spans="2:9" ht="18.75" x14ac:dyDescent="0.3">
      <c r="B96" s="82"/>
      <c r="C96" s="82"/>
      <c r="D96" s="82"/>
      <c r="E96" s="82"/>
      <c r="F96" s="82"/>
      <c r="G96" s="82"/>
      <c r="H96" s="82"/>
      <c r="I96" s="82"/>
    </row>
    <row r="97" spans="2:9" ht="18.75" x14ac:dyDescent="0.3">
      <c r="B97" s="82"/>
      <c r="C97" s="82"/>
      <c r="D97" s="82"/>
      <c r="E97" s="82"/>
      <c r="F97" s="82"/>
      <c r="G97" s="82"/>
      <c r="H97" s="82"/>
      <c r="I97" s="82"/>
    </row>
    <row r="98" spans="2:9" ht="18.75" x14ac:dyDescent="0.3">
      <c r="B98" s="82"/>
      <c r="C98" s="82"/>
      <c r="D98" s="82"/>
      <c r="E98" s="82"/>
      <c r="F98" s="82"/>
      <c r="G98" s="82"/>
      <c r="H98" s="82"/>
      <c r="I98" s="82"/>
    </row>
    <row r="99" spans="2:9" ht="18.75" x14ac:dyDescent="0.3">
      <c r="B99" s="82"/>
      <c r="C99" s="82"/>
      <c r="D99" s="82"/>
      <c r="E99" s="82"/>
      <c r="F99" s="82"/>
      <c r="G99" s="82"/>
      <c r="H99" s="82"/>
      <c r="I99" s="82"/>
    </row>
    <row r="100" spans="2:9" ht="18.75" x14ac:dyDescent="0.3">
      <c r="B100" s="82"/>
      <c r="C100" s="82"/>
      <c r="D100" s="82"/>
      <c r="E100" s="82"/>
      <c r="F100" s="82"/>
      <c r="G100" s="82"/>
      <c r="H100" s="82"/>
      <c r="I100" s="82"/>
    </row>
    <row r="101" spans="2:9" ht="18.75" x14ac:dyDescent="0.3">
      <c r="B101" s="82"/>
      <c r="C101" s="82"/>
      <c r="D101" s="82"/>
      <c r="E101" s="82"/>
      <c r="F101" s="82"/>
      <c r="G101" s="82"/>
      <c r="H101" s="82"/>
      <c r="I101" s="82"/>
    </row>
    <row r="102" spans="2:9" ht="18.75" x14ac:dyDescent="0.3">
      <c r="B102" s="82"/>
      <c r="C102" s="82"/>
      <c r="D102" s="82"/>
      <c r="E102" s="82"/>
      <c r="F102" s="82"/>
      <c r="G102" s="82"/>
      <c r="H102" s="82"/>
      <c r="I102" s="82"/>
    </row>
    <row r="103" spans="2:9" ht="18.75" x14ac:dyDescent="0.3">
      <c r="B103" s="82"/>
      <c r="C103" s="82"/>
      <c r="D103" s="82"/>
      <c r="E103" s="82"/>
      <c r="F103" s="82"/>
      <c r="G103" s="82"/>
      <c r="H103" s="82"/>
      <c r="I103" s="82"/>
    </row>
    <row r="104" spans="2:9" ht="18.75" x14ac:dyDescent="0.3">
      <c r="B104" s="82"/>
      <c r="C104" s="82"/>
      <c r="D104" s="82"/>
      <c r="E104" s="82"/>
      <c r="F104" s="82"/>
      <c r="G104" s="82"/>
      <c r="H104" s="82"/>
      <c r="I104" s="82"/>
    </row>
    <row r="105" spans="2:9" ht="18.75" x14ac:dyDescent="0.3">
      <c r="B105" s="82"/>
      <c r="C105" s="82"/>
      <c r="D105" s="82"/>
      <c r="E105" s="82"/>
      <c r="F105" s="82"/>
      <c r="G105" s="82"/>
      <c r="H105" s="82"/>
      <c r="I105" s="82"/>
    </row>
    <row r="106" spans="2:9" ht="18.75" x14ac:dyDescent="0.3">
      <c r="B106" s="82"/>
      <c r="C106" s="82"/>
      <c r="D106" s="82"/>
      <c r="E106" s="82"/>
      <c r="F106" s="82"/>
      <c r="G106" s="82"/>
      <c r="H106" s="82"/>
      <c r="I106" s="82"/>
    </row>
    <row r="107" spans="2:9" ht="18.75" x14ac:dyDescent="0.3">
      <c r="B107" s="82"/>
      <c r="C107" s="82"/>
      <c r="D107" s="82"/>
      <c r="E107" s="82"/>
      <c r="F107" s="82"/>
      <c r="G107" s="82"/>
      <c r="H107" s="82"/>
      <c r="I107" s="82"/>
    </row>
    <row r="108" spans="2:9" ht="18.75" x14ac:dyDescent="0.3">
      <c r="B108" s="82"/>
      <c r="C108" s="82"/>
      <c r="D108" s="82"/>
      <c r="E108" s="82"/>
      <c r="F108" s="82"/>
      <c r="G108" s="82"/>
      <c r="H108" s="82"/>
      <c r="I108" s="82"/>
    </row>
    <row r="109" spans="2:9" ht="18.75" x14ac:dyDescent="0.3">
      <c r="B109" s="82"/>
      <c r="C109" s="82"/>
      <c r="D109" s="82"/>
      <c r="E109" s="82"/>
      <c r="F109" s="82"/>
      <c r="G109" s="82"/>
      <c r="H109" s="82"/>
      <c r="I109" s="82"/>
    </row>
    <row r="110" spans="2:9" ht="18.75" x14ac:dyDescent="0.3">
      <c r="B110" s="82"/>
      <c r="C110" s="82"/>
      <c r="D110" s="82"/>
      <c r="E110" s="82"/>
      <c r="F110" s="82"/>
      <c r="G110" s="82"/>
      <c r="H110" s="82"/>
      <c r="I110" s="82"/>
    </row>
    <row r="111" spans="2:9" ht="18.75" x14ac:dyDescent="0.3">
      <c r="B111" s="82"/>
      <c r="C111" s="82"/>
      <c r="D111" s="82"/>
      <c r="E111" s="82"/>
      <c r="F111" s="82"/>
      <c r="G111" s="82"/>
      <c r="H111" s="82"/>
      <c r="I111" s="82"/>
    </row>
    <row r="112" spans="2:9" ht="18.75" x14ac:dyDescent="0.3">
      <c r="B112" s="82"/>
      <c r="C112" s="82"/>
      <c r="D112" s="82"/>
      <c r="E112" s="82"/>
      <c r="F112" s="82"/>
      <c r="G112" s="82"/>
      <c r="H112" s="82"/>
      <c r="I112" s="82"/>
    </row>
    <row r="113" spans="2:9" ht="18.75" x14ac:dyDescent="0.3">
      <c r="B113" s="82"/>
      <c r="C113" s="82"/>
      <c r="D113" s="82"/>
      <c r="E113" s="82"/>
      <c r="F113" s="82"/>
      <c r="G113" s="82"/>
      <c r="H113" s="82"/>
      <c r="I113" s="82"/>
    </row>
    <row r="114" spans="2:9" ht="18.75" x14ac:dyDescent="0.3">
      <c r="B114" s="82"/>
      <c r="C114" s="82"/>
      <c r="D114" s="82"/>
      <c r="E114" s="82"/>
      <c r="F114" s="82"/>
      <c r="G114" s="82"/>
      <c r="H114" s="82"/>
      <c r="I114" s="82"/>
    </row>
    <row r="115" spans="2:9" ht="18.75" x14ac:dyDescent="0.3">
      <c r="B115" s="82"/>
      <c r="C115" s="82"/>
      <c r="D115" s="82"/>
      <c r="E115" s="82"/>
      <c r="F115" s="82"/>
      <c r="G115" s="82"/>
      <c r="H115" s="82"/>
      <c r="I115" s="82"/>
    </row>
    <row r="116" spans="2:9" ht="18.75" x14ac:dyDescent="0.3">
      <c r="B116" s="82"/>
      <c r="C116" s="82"/>
      <c r="D116" s="82"/>
      <c r="E116" s="82"/>
      <c r="F116" s="82"/>
      <c r="G116" s="82"/>
      <c r="H116" s="82"/>
      <c r="I116" s="82"/>
    </row>
    <row r="117" spans="2:9" ht="18.75" x14ac:dyDescent="0.3">
      <c r="B117" s="82"/>
      <c r="C117" s="82"/>
      <c r="D117" s="82"/>
      <c r="E117" s="82"/>
      <c r="F117" s="82"/>
      <c r="G117" s="82"/>
      <c r="H117" s="82"/>
      <c r="I117" s="82"/>
    </row>
    <row r="118" spans="2:9" ht="18.75" x14ac:dyDescent="0.3">
      <c r="B118" s="82"/>
      <c r="C118" s="82"/>
      <c r="D118" s="82"/>
      <c r="E118" s="82"/>
      <c r="F118" s="82"/>
      <c r="G118" s="82"/>
      <c r="H118" s="82"/>
      <c r="I118" s="82"/>
    </row>
    <row r="119" spans="2:9" ht="18.75" x14ac:dyDescent="0.3">
      <c r="B119" s="82"/>
      <c r="C119" s="82"/>
      <c r="D119" s="82"/>
      <c r="E119" s="82"/>
      <c r="F119" s="82"/>
      <c r="G119" s="82"/>
      <c r="H119" s="82"/>
      <c r="I119" s="82"/>
    </row>
    <row r="120" spans="2:9" ht="18.75" x14ac:dyDescent="0.3">
      <c r="B120" s="82"/>
      <c r="C120" s="82"/>
      <c r="D120" s="82"/>
      <c r="E120" s="82"/>
      <c r="F120" s="82"/>
      <c r="G120" s="82"/>
      <c r="H120" s="82"/>
      <c r="I120" s="82"/>
    </row>
    <row r="121" spans="2:9" ht="18.75" x14ac:dyDescent="0.3">
      <c r="B121" s="82"/>
      <c r="C121" s="82"/>
      <c r="D121" s="82"/>
      <c r="E121" s="82"/>
      <c r="F121" s="82"/>
      <c r="G121" s="82"/>
      <c r="H121" s="82"/>
      <c r="I121" s="82"/>
    </row>
    <row r="122" spans="2:9" ht="18.75" x14ac:dyDescent="0.3">
      <c r="B122" s="82"/>
      <c r="C122" s="82"/>
      <c r="D122" s="82"/>
      <c r="E122" s="82"/>
      <c r="F122" s="82"/>
      <c r="G122" s="82"/>
      <c r="H122" s="82"/>
      <c r="I122" s="82"/>
    </row>
    <row r="123" spans="2:9" ht="18.75" x14ac:dyDescent="0.3">
      <c r="B123" s="82"/>
      <c r="C123" s="82"/>
      <c r="D123" s="82"/>
      <c r="E123" s="82"/>
      <c r="F123" s="82"/>
      <c r="G123" s="82"/>
      <c r="H123" s="82"/>
      <c r="I123" s="82"/>
    </row>
    <row r="124" spans="2:9" ht="18.75" x14ac:dyDescent="0.3">
      <c r="B124" s="82"/>
      <c r="C124" s="82"/>
      <c r="D124" s="82"/>
      <c r="E124" s="82"/>
      <c r="F124" s="82"/>
      <c r="G124" s="82"/>
      <c r="H124" s="82"/>
      <c r="I124" s="82"/>
    </row>
  </sheetData>
  <mergeCells count="2">
    <mergeCell ref="D9:G9"/>
    <mergeCell ref="D15:D16"/>
  </mergeCells>
  <pageMargins left="0.70866141732283472" right="0.70866141732283472" top="0.74803149606299213" bottom="0.74803149606299213" header="0.31496062992125984" footer="0.31496062992125984"/>
  <pageSetup paperSize="9" scale="7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Lists!$A$61:$A$180</xm:f>
          </x14:formula1>
          <xm:sqref>D9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pageSetUpPr autoPageBreaks="0"/>
  </sheetPr>
  <dimension ref="A2:U28"/>
  <sheetViews>
    <sheetView showGridLines="0" workbookViewId="0">
      <selection activeCell="J19" sqref="J19"/>
    </sheetView>
  </sheetViews>
  <sheetFormatPr defaultRowHeight="15" x14ac:dyDescent="0.25"/>
  <cols>
    <col min="1" max="1" width="10.140625" bestFit="1" customWidth="1"/>
    <col min="2" max="2" width="46.7109375" customWidth="1"/>
    <col min="3" max="3" width="32.7109375" customWidth="1"/>
    <col min="4" max="4" width="29.140625" bestFit="1" customWidth="1"/>
    <col min="5" max="5" width="28" customWidth="1"/>
    <col min="6" max="6" width="24.7109375" customWidth="1"/>
    <col min="7" max="7" width="22.42578125" bestFit="1" customWidth="1"/>
    <col min="8" max="8" width="26" bestFit="1" customWidth="1"/>
    <col min="9" max="10" width="22.7109375" bestFit="1" customWidth="1"/>
  </cols>
  <sheetData>
    <row r="2" spans="1:6" x14ac:dyDescent="0.25">
      <c r="B2" t="s">
        <v>261</v>
      </c>
    </row>
    <row r="4" spans="1:6" x14ac:dyDescent="0.25">
      <c r="B4" t="s">
        <v>338</v>
      </c>
    </row>
    <row r="6" spans="1:6" x14ac:dyDescent="0.25">
      <c r="B6" t="s">
        <v>347</v>
      </c>
    </row>
    <row r="7" spans="1:6" x14ac:dyDescent="0.25">
      <c r="A7" t="s">
        <v>264</v>
      </c>
      <c r="B7" s="10" t="s">
        <v>331</v>
      </c>
      <c r="C7" s="10" t="s">
        <v>332</v>
      </c>
      <c r="D7" s="11" t="s">
        <v>333</v>
      </c>
      <c r="E7" s="10" t="s">
        <v>334</v>
      </c>
      <c r="F7" s="10" t="s">
        <v>263</v>
      </c>
    </row>
    <row r="8" spans="1:6" x14ac:dyDescent="0.25">
      <c r="A8" t="s">
        <v>265</v>
      </c>
      <c r="B8" s="8" t="str">
        <f>'Data quality dashboard'!D9</f>
        <v>Airedale NHS Foundation Trust</v>
      </c>
      <c r="C8" s="8" t="str">
        <f ca="1">VLOOKUP(selected_trust_xc,INDIRECT(table_trust_ca_assoc),2)</f>
        <v>RCF</v>
      </c>
      <c r="D8" s="9" t="str">
        <f ca="1">VLOOKUP(selected_trust_xc,INDIRECT(table_trust_ca_assoc),3)</f>
        <v>West Yorkshire and Harrogate</v>
      </c>
      <c r="E8" s="8" t="str">
        <f ca="1">VLOOKUP(selected_trust_xc,INDIRECT(table_trust_ca_assoc),4)</f>
        <v>A19</v>
      </c>
      <c r="F8" s="8">
        <f ca="1">VLOOKUP(selected_trust_xc_ca_name,INDIRECT(trusts_per_CA),2)</f>
        <v>6</v>
      </c>
    </row>
    <row r="9" spans="1:6" x14ac:dyDescent="0.25">
      <c r="D9" s="2"/>
    </row>
    <row r="10" spans="1:6" x14ac:dyDescent="0.25">
      <c r="D10" s="2"/>
      <c r="F10" s="2"/>
    </row>
    <row r="11" spans="1:6" x14ac:dyDescent="0.25">
      <c r="B11" t="s">
        <v>348</v>
      </c>
      <c r="F11" s="2"/>
    </row>
    <row r="12" spans="1:6" x14ac:dyDescent="0.25">
      <c r="A12" t="s">
        <v>264</v>
      </c>
      <c r="B12" s="10" t="s">
        <v>330</v>
      </c>
      <c r="C12" s="10" t="s">
        <v>335</v>
      </c>
      <c r="D12" s="11" t="s">
        <v>336</v>
      </c>
      <c r="E12" s="10" t="s">
        <v>337</v>
      </c>
      <c r="F12" s="2"/>
    </row>
    <row r="13" spans="1:6" x14ac:dyDescent="0.25">
      <c r="A13" t="s">
        <v>265</v>
      </c>
      <c r="B13" s="8" t="str">
        <f>'Patient characteristics'!D9</f>
        <v>Airedale NHS Foundation Trust</v>
      </c>
      <c r="C13" s="8" t="str">
        <f ca="1">VLOOKUP(selected_trust_ptc,INDIRECT(table_trust_ca_assoc),2)</f>
        <v>RCF</v>
      </c>
      <c r="D13" s="9" t="str">
        <f ca="1">VLOOKUP(selected_trust_ptc,INDIRECT(table_trust_ca_assoc),3)</f>
        <v>West Yorkshire and Harrogate</v>
      </c>
      <c r="E13" s="8" t="str">
        <f ca="1">VLOOKUP(selected_trust_ptc,INDIRECT(table_trust_ca_assoc),4)</f>
        <v>A19</v>
      </c>
      <c r="F13" s="2"/>
    </row>
    <row r="14" spans="1:6" x14ac:dyDescent="0.25">
      <c r="F14" s="2"/>
    </row>
    <row r="15" spans="1:6" x14ac:dyDescent="0.25">
      <c r="B15" t="s">
        <v>279</v>
      </c>
      <c r="C15" s="2"/>
    </row>
    <row r="16" spans="1:6" x14ac:dyDescent="0.25">
      <c r="C16" s="2"/>
    </row>
    <row r="17" spans="1:21" x14ac:dyDescent="0.25">
      <c r="B17" t="s">
        <v>347</v>
      </c>
    </row>
    <row r="18" spans="1:21" x14ac:dyDescent="0.25">
      <c r="A18" t="s">
        <v>264</v>
      </c>
      <c r="B18" s="10" t="s">
        <v>343</v>
      </c>
      <c r="C18" s="11" t="s">
        <v>344</v>
      </c>
      <c r="D18" s="10" t="s">
        <v>345</v>
      </c>
      <c r="E18" s="10" t="s">
        <v>346</v>
      </c>
      <c r="F18" s="10" t="s">
        <v>362</v>
      </c>
      <c r="G18" s="10" t="s">
        <v>365</v>
      </c>
      <c r="H18" s="10" t="s">
        <v>363</v>
      </c>
      <c r="I18" s="10" t="s">
        <v>364</v>
      </c>
      <c r="J18" s="10" t="s">
        <v>366</v>
      </c>
      <c r="L18" s="1"/>
      <c r="O18" s="34"/>
      <c r="R18" s="32"/>
      <c r="U18" s="1">
        <f>Lists!M40</f>
        <v>0</v>
      </c>
    </row>
    <row r="19" spans="1:21" x14ac:dyDescent="0.25">
      <c r="A19" t="s">
        <v>265</v>
      </c>
      <c r="B19" s="9" t="str">
        <f>'Data quality dashboard'!D15</f>
        <v>Data completeness for Basis of Diagnosis</v>
      </c>
      <c r="C19" s="9" t="str">
        <f ca="1">INDEX(INDIRECT(dq_cell_ref_matrix),MATCH(selected_dq_descr_xc,INDIRECT(dq_cell_ref_row_names),0),2)</f>
        <v>basis_p</v>
      </c>
      <c r="D19" s="130">
        <f ca="1">INDEX(INDIRECT(dq_cell_ref_matrix),MATCH(selected_dq_descr_xc,INDIRECT(dq_cell_ref_row_names),0),3)</f>
        <v>0.9</v>
      </c>
      <c r="E19" s="130" t="str">
        <f ca="1">INDEX(INDIRECT(dq_cell_ref_matrix),MATCH(selected_dq_descr_xc,INDIRECT(dq_cell_ref_row_names),0),4)</f>
        <v>n</v>
      </c>
      <c r="F19" s="130" t="str">
        <f ca="1">INDEX(INDIRECT(dq_cell_ref_matrix),MATCH(selected_dq_descr_xc,INDIRECT(dq_cell_ref_row_names),0),5)</f>
        <v>Number of people with a new diagnosis of oesophago-gastric cancer, with a recorded Basis of Diagnosis</v>
      </c>
      <c r="G19" s="130" t="str">
        <f ca="1">INDEX(INDIRECT(dq_cell_ref_matrix),MATCH(selected_dq_descr_xc,INDIRECT(dq_cell_ref_row_names),0),6)</f>
        <v>Number of people with a new diagnosis of oesophago-gastric cancer</v>
      </c>
      <c r="H19" s="130" t="str">
        <f ca="1">INDEX(INDIRECT(dq_cell_ref_matrix),MATCH(selected_dq_descr_xc,INDIRECT(dq_cell_ref_row_names),0),7)</f>
        <v>Rapid Cancer Registration Data</v>
      </c>
      <c r="I19" s="130" t="str">
        <f ca="1">INDEX(INDIRECT(dq_cell_ref_matrix),MATCH(selected_dq_descr_xc,INDIRECT(dq_cell_ref_row_names),0),8)</f>
        <v>basisofdiagnosis</v>
      </c>
      <c r="J19" s="130" t="str">
        <f ca="1">INDEX(INDIRECT(dq_cell_ref_matrix),MATCH(selected_dq_descr_xc,INDIRECT(dq_cell_ref_row_names),0),9)</f>
        <v>1 April 2023 to 31 March 2024</v>
      </c>
    </row>
    <row r="20" spans="1:21" x14ac:dyDescent="0.25">
      <c r="B20" s="2"/>
      <c r="C20" s="2"/>
    </row>
    <row r="21" spans="1:21" x14ac:dyDescent="0.25">
      <c r="A21" s="72"/>
      <c r="B21" s="72"/>
      <c r="C21" s="143"/>
      <c r="D21" s="72"/>
      <c r="E21" s="72"/>
      <c r="F21" s="72"/>
      <c r="G21" s="72"/>
      <c r="H21" s="72"/>
      <c r="I21" s="72"/>
      <c r="J21" s="72"/>
    </row>
    <row r="22" spans="1:21" x14ac:dyDescent="0.25">
      <c r="A22" s="72"/>
      <c r="B22" s="144"/>
      <c r="C22" s="145"/>
      <c r="D22" s="144"/>
      <c r="E22" s="144"/>
      <c r="F22" s="144"/>
      <c r="G22" s="144"/>
      <c r="H22" s="144"/>
      <c r="I22" s="144"/>
      <c r="J22" s="144"/>
    </row>
    <row r="23" spans="1:21" x14ac:dyDescent="0.25">
      <c r="A23" s="72"/>
      <c r="B23" s="143"/>
      <c r="C23" s="143"/>
      <c r="D23" s="72"/>
      <c r="E23" s="72"/>
      <c r="F23" s="72"/>
      <c r="G23" s="72"/>
      <c r="H23" s="72"/>
      <c r="I23" s="72"/>
      <c r="J23" s="72"/>
    </row>
    <row r="24" spans="1:21" x14ac:dyDescent="0.25">
      <c r="C24" s="2"/>
    </row>
    <row r="25" spans="1:21" x14ac:dyDescent="0.25">
      <c r="B25" t="s">
        <v>276</v>
      </c>
      <c r="C25" s="10" t="s">
        <v>277</v>
      </c>
      <c r="D25" s="10" t="s">
        <v>278</v>
      </c>
      <c r="E25" s="10" t="s">
        <v>289</v>
      </c>
      <c r="F25" s="10" t="s">
        <v>290</v>
      </c>
    </row>
    <row r="26" spans="1:21" x14ac:dyDescent="0.25">
      <c r="C26" s="9">
        <f ca="1">'Data quality dashboard'!H26</f>
        <v>1</v>
      </c>
      <c r="D26" s="12">
        <f ca="1">'Data quality dashboard'!G26</f>
        <v>1</v>
      </c>
      <c r="E26" s="8">
        <v>0</v>
      </c>
      <c r="F26" s="8">
        <f ca="1">IF(selected_dq_target_xc="NA",NA(),selected_dq_target_xc)</f>
        <v>0.9</v>
      </c>
    </row>
    <row r="27" spans="1:21" x14ac:dyDescent="0.25">
      <c r="C27" s="9">
        <f ca="1">C26</f>
        <v>1</v>
      </c>
      <c r="D27" s="8">
        <v>0</v>
      </c>
      <c r="E27" s="8">
        <f>n_trusts</f>
        <v>120</v>
      </c>
      <c r="F27" s="8">
        <f ca="1">F26</f>
        <v>0.9</v>
      </c>
    </row>
    <row r="28" spans="1:21" x14ac:dyDescent="0.25">
      <c r="C28" s="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J180"/>
  <sheetViews>
    <sheetView topLeftCell="A60" zoomScaleNormal="100" workbookViewId="0">
      <selection activeCell="G45" sqref="G45"/>
    </sheetView>
  </sheetViews>
  <sheetFormatPr defaultRowHeight="15" x14ac:dyDescent="0.25"/>
  <cols>
    <col min="1" max="1" width="51.5703125" bestFit="1" customWidth="1"/>
    <col min="2" max="2" width="20.28515625" customWidth="1"/>
    <col min="3" max="3" width="19.7109375" customWidth="1"/>
    <col min="4" max="4" width="20.7109375" customWidth="1"/>
    <col min="5" max="5" width="19.7109375" customWidth="1"/>
    <col min="6" max="6" width="65.7109375" customWidth="1"/>
    <col min="7" max="7" width="19.42578125" bestFit="1" customWidth="1"/>
    <col min="8" max="8" width="15.7109375" customWidth="1"/>
    <col min="9" max="9" width="37.7109375" bestFit="1" customWidth="1"/>
    <col min="10" max="10" width="18.7109375" customWidth="1"/>
    <col min="11" max="11" width="3.42578125" bestFit="1" customWidth="1"/>
    <col min="12" max="13" width="5" bestFit="1" customWidth="1"/>
  </cols>
  <sheetData>
    <row r="1" spans="1:9" x14ac:dyDescent="0.25">
      <c r="A1" t="s">
        <v>320</v>
      </c>
    </row>
    <row r="2" spans="1:9" x14ac:dyDescent="0.25">
      <c r="A2" s="42" t="s">
        <v>321</v>
      </c>
    </row>
    <row r="3" spans="1:9" x14ac:dyDescent="0.25">
      <c r="A3" s="43" t="s">
        <v>322</v>
      </c>
    </row>
    <row r="6" spans="1:9" x14ac:dyDescent="0.25">
      <c r="A6" s="1" t="s">
        <v>315</v>
      </c>
    </row>
    <row r="7" spans="1:9" x14ac:dyDescent="0.25">
      <c r="A7" t="s">
        <v>379</v>
      </c>
    </row>
    <row r="8" spans="1:9" x14ac:dyDescent="0.25">
      <c r="A8" s="14" t="s">
        <v>357</v>
      </c>
      <c r="B8" s="27" t="s">
        <v>361</v>
      </c>
      <c r="C8" s="27" t="s">
        <v>358</v>
      </c>
      <c r="D8" s="27" t="s">
        <v>359</v>
      </c>
      <c r="E8" s="27" t="s">
        <v>360</v>
      </c>
    </row>
    <row r="9" spans="1:9" ht="15.75" thickBot="1" x14ac:dyDescent="0.3">
      <c r="A9" s="14" t="s">
        <v>356</v>
      </c>
      <c r="B9" s="3" t="s">
        <v>569</v>
      </c>
      <c r="C9" s="3" t="s">
        <v>569</v>
      </c>
      <c r="D9" s="3" t="s">
        <v>367</v>
      </c>
      <c r="E9" s="3" t="s">
        <v>570</v>
      </c>
    </row>
    <row r="10" spans="1:9" x14ac:dyDescent="0.25">
      <c r="A10" s="150" t="s">
        <v>274</v>
      </c>
      <c r="B10" s="35" t="s">
        <v>275</v>
      </c>
      <c r="C10" s="149" t="s">
        <v>340</v>
      </c>
      <c r="D10" s="35" t="s">
        <v>304</v>
      </c>
      <c r="E10" s="149" t="s">
        <v>260</v>
      </c>
      <c r="F10" s="149" t="s">
        <v>258</v>
      </c>
      <c r="G10" s="149" t="s">
        <v>305</v>
      </c>
      <c r="H10" s="149" t="s">
        <v>306</v>
      </c>
      <c r="I10" s="149" t="s">
        <v>325</v>
      </c>
    </row>
    <row r="11" spans="1:9" x14ac:dyDescent="0.25">
      <c r="A11" s="146" t="s">
        <v>282</v>
      </c>
      <c r="B11" s="36" t="s">
        <v>271</v>
      </c>
      <c r="C11" s="36">
        <v>0.9</v>
      </c>
      <c r="D11" s="36" t="s">
        <v>2</v>
      </c>
      <c r="E11" s="36" t="s">
        <v>509</v>
      </c>
      <c r="F11" s="36" t="s">
        <v>515</v>
      </c>
      <c r="G11" s="36" t="s">
        <v>401</v>
      </c>
      <c r="H11" s="36" t="s">
        <v>402</v>
      </c>
      <c r="I11" s="147" t="str">
        <f t="shared" ref="I11:I17" si="0">start_date_england&amp;" to "&amp;end_date_england</f>
        <v>1 April 2023 to 31 March 2024</v>
      </c>
    </row>
    <row r="12" spans="1:9" x14ac:dyDescent="0.25">
      <c r="A12" s="146" t="s">
        <v>527</v>
      </c>
      <c r="B12" s="36" t="s">
        <v>269</v>
      </c>
      <c r="C12" s="151">
        <v>0.8</v>
      </c>
      <c r="D12" s="36" t="s">
        <v>2</v>
      </c>
      <c r="E12" s="36" t="s">
        <v>511</v>
      </c>
      <c r="F12" s="36" t="s">
        <v>515</v>
      </c>
      <c r="G12" s="36" t="s">
        <v>401</v>
      </c>
      <c r="H12" s="36" t="s">
        <v>404</v>
      </c>
      <c r="I12" s="147" t="str">
        <f t="shared" si="0"/>
        <v>1 April 2023 to 31 March 2024</v>
      </c>
    </row>
    <row r="13" spans="1:9" x14ac:dyDescent="0.25">
      <c r="A13" s="146" t="s">
        <v>285</v>
      </c>
      <c r="B13" s="36" t="s">
        <v>270</v>
      </c>
      <c r="C13" s="36">
        <v>0.9</v>
      </c>
      <c r="D13" s="36" t="s">
        <v>2</v>
      </c>
      <c r="E13" s="36" t="s">
        <v>513</v>
      </c>
      <c r="F13" s="36" t="s">
        <v>515</v>
      </c>
      <c r="G13" s="36" t="s">
        <v>401</v>
      </c>
      <c r="H13" s="36" t="s">
        <v>405</v>
      </c>
      <c r="I13" s="147" t="str">
        <f t="shared" si="0"/>
        <v>1 April 2023 to 31 March 2024</v>
      </c>
    </row>
    <row r="14" spans="1:9" x14ac:dyDescent="0.25">
      <c r="A14" s="146" t="s">
        <v>494</v>
      </c>
      <c r="B14" s="36" t="s">
        <v>267</v>
      </c>
      <c r="C14" s="36">
        <v>0.9</v>
      </c>
      <c r="D14" s="36" t="s">
        <v>2</v>
      </c>
      <c r="E14" s="36" t="s">
        <v>514</v>
      </c>
      <c r="F14" s="36" t="s">
        <v>515</v>
      </c>
      <c r="G14" s="36" t="s">
        <v>401</v>
      </c>
      <c r="H14" s="36" t="s">
        <v>407</v>
      </c>
      <c r="I14" s="147" t="str">
        <f t="shared" si="0"/>
        <v>1 April 2023 to 31 March 2024</v>
      </c>
    </row>
    <row r="15" spans="1:9" x14ac:dyDescent="0.25">
      <c r="A15" s="146" t="s">
        <v>283</v>
      </c>
      <c r="B15" s="36" t="s">
        <v>272</v>
      </c>
      <c r="C15" s="36">
        <v>0.9</v>
      </c>
      <c r="D15" s="36" t="s">
        <v>2</v>
      </c>
      <c r="E15" s="36" t="s">
        <v>510</v>
      </c>
      <c r="F15" s="36" t="s">
        <v>515</v>
      </c>
      <c r="G15" s="36" t="s">
        <v>401</v>
      </c>
      <c r="H15" s="36" t="s">
        <v>403</v>
      </c>
      <c r="I15" s="147" t="str">
        <f t="shared" si="0"/>
        <v>1 April 2023 to 31 March 2024</v>
      </c>
    </row>
    <row r="16" spans="1:9" x14ac:dyDescent="0.25">
      <c r="A16" s="148" t="s">
        <v>284</v>
      </c>
      <c r="B16" s="3" t="s">
        <v>268</v>
      </c>
      <c r="C16" s="36">
        <v>0.9</v>
      </c>
      <c r="D16" s="3" t="s">
        <v>2</v>
      </c>
      <c r="E16" s="3" t="s">
        <v>512</v>
      </c>
      <c r="F16" s="36" t="s">
        <v>515</v>
      </c>
      <c r="G16" s="36" t="s">
        <v>401</v>
      </c>
      <c r="H16" s="3" t="s">
        <v>516</v>
      </c>
      <c r="I16" s="147" t="str">
        <f t="shared" si="0"/>
        <v>1 April 2023 to 31 March 2024</v>
      </c>
    </row>
    <row r="17" spans="1:9" x14ac:dyDescent="0.25">
      <c r="A17" s="146" t="s">
        <v>564</v>
      </c>
      <c r="B17" s="36" t="s">
        <v>565</v>
      </c>
      <c r="C17" s="36">
        <v>0.9</v>
      </c>
      <c r="D17" s="36" t="s">
        <v>2</v>
      </c>
      <c r="E17" s="36" t="s">
        <v>566</v>
      </c>
      <c r="F17" s="36" t="s">
        <v>515</v>
      </c>
      <c r="G17" s="36" t="s">
        <v>567</v>
      </c>
      <c r="H17" s="159" t="s">
        <v>568</v>
      </c>
      <c r="I17" s="147" t="str">
        <f t="shared" si="0"/>
        <v>1 April 2023 to 31 March 2024</v>
      </c>
    </row>
    <row r="19" spans="1:9" x14ac:dyDescent="0.25">
      <c r="A19" s="1" t="s">
        <v>382</v>
      </c>
    </row>
    <row r="21" spans="1:9" x14ac:dyDescent="0.25">
      <c r="A21" t="s">
        <v>381</v>
      </c>
      <c r="B21" t="s">
        <v>356</v>
      </c>
      <c r="C21" t="s">
        <v>357</v>
      </c>
    </row>
    <row r="22" spans="1:9" ht="15.75" thickBot="1" x14ac:dyDescent="0.3">
      <c r="A22" s="8" t="s">
        <v>349</v>
      </c>
      <c r="B22" s="44" t="s">
        <v>519</v>
      </c>
      <c r="C22" s="8" t="s">
        <v>370</v>
      </c>
      <c r="E22" t="s">
        <v>384</v>
      </c>
      <c r="F22" s="27" t="s">
        <v>314</v>
      </c>
      <c r="G22" s="27" t="s">
        <v>264</v>
      </c>
    </row>
    <row r="23" spans="1:9" ht="15.75" thickBot="1" x14ac:dyDescent="0.3">
      <c r="A23" s="8" t="s">
        <v>351</v>
      </c>
      <c r="B23" s="44" t="s">
        <v>406</v>
      </c>
      <c r="C23" s="8" t="s">
        <v>372</v>
      </c>
      <c r="E23" s="27" t="s">
        <v>308</v>
      </c>
      <c r="F23" s="28">
        <v>0</v>
      </c>
      <c r="G23" s="27" t="s">
        <v>309</v>
      </c>
    </row>
    <row r="24" spans="1:9" ht="15.75" thickBot="1" x14ac:dyDescent="0.3">
      <c r="A24" s="8" t="s">
        <v>350</v>
      </c>
      <c r="B24" s="44" t="s">
        <v>520</v>
      </c>
      <c r="C24" s="8" t="s">
        <v>373</v>
      </c>
      <c r="E24" s="27" t="s">
        <v>385</v>
      </c>
      <c r="F24" s="28" t="str">
        <f>"NA"</f>
        <v>NA</v>
      </c>
      <c r="G24" s="27" t="s">
        <v>310</v>
      </c>
    </row>
    <row r="25" spans="1:9" ht="15.75" thickBot="1" x14ac:dyDescent="0.3">
      <c r="A25" s="8" t="s">
        <v>349</v>
      </c>
      <c r="B25" s="44" t="s">
        <v>521</v>
      </c>
      <c r="C25" s="8" t="s">
        <v>391</v>
      </c>
      <c r="E25" s="27" t="s">
        <v>386</v>
      </c>
      <c r="F25" s="28" t="str">
        <f>"NA"</f>
        <v>NA</v>
      </c>
      <c r="G25" s="27" t="s">
        <v>311</v>
      </c>
    </row>
    <row r="26" spans="1:9" ht="15.75" thickBot="1" x14ac:dyDescent="0.3">
      <c r="A26" s="8" t="s">
        <v>351</v>
      </c>
      <c r="B26" s="44" t="s">
        <v>392</v>
      </c>
      <c r="C26" s="8" t="s">
        <v>393</v>
      </c>
      <c r="E26" s="27" t="s">
        <v>387</v>
      </c>
      <c r="F26" s="28" t="str">
        <f>"NA"</f>
        <v>NA</v>
      </c>
      <c r="G26" s="27" t="s">
        <v>312</v>
      </c>
    </row>
    <row r="27" spans="1:9" ht="15.75" thickBot="1" x14ac:dyDescent="0.3">
      <c r="A27" s="8" t="s">
        <v>350</v>
      </c>
      <c r="B27" s="44" t="s">
        <v>522</v>
      </c>
      <c r="C27" s="8" t="s">
        <v>394</v>
      </c>
      <c r="E27" s="27" t="s">
        <v>388</v>
      </c>
      <c r="F27" s="28" t="str">
        <f>"NA"</f>
        <v>NA</v>
      </c>
      <c r="G27" s="27" t="s">
        <v>313</v>
      </c>
    </row>
    <row r="28" spans="1:9" x14ac:dyDescent="0.25">
      <c r="A28" s="8" t="s">
        <v>349</v>
      </c>
      <c r="B28" s="44" t="s">
        <v>524</v>
      </c>
      <c r="C28" s="8" t="s">
        <v>371</v>
      </c>
    </row>
    <row r="29" spans="1:9" x14ac:dyDescent="0.25">
      <c r="A29" s="8" t="s">
        <v>350</v>
      </c>
      <c r="B29" s="44" t="s">
        <v>523</v>
      </c>
      <c r="C29" s="8" t="s">
        <v>374</v>
      </c>
    </row>
    <row r="30" spans="1:9" x14ac:dyDescent="0.25">
      <c r="A30" s="8" t="s">
        <v>352</v>
      </c>
      <c r="B30" s="44" t="s">
        <v>426</v>
      </c>
      <c r="C30" s="8" t="s">
        <v>375</v>
      </c>
    </row>
    <row r="31" spans="1:9" x14ac:dyDescent="0.25">
      <c r="A31" s="8" t="s">
        <v>353</v>
      </c>
      <c r="B31" s="44" t="s">
        <v>425</v>
      </c>
      <c r="C31" s="8" t="s">
        <v>376</v>
      </c>
    </row>
    <row r="32" spans="1:9" x14ac:dyDescent="0.25">
      <c r="A32" s="8" t="s">
        <v>354</v>
      </c>
      <c r="B32" s="44" t="s">
        <v>427</v>
      </c>
      <c r="C32" s="8" t="s">
        <v>377</v>
      </c>
    </row>
    <row r="33" spans="1:7" x14ac:dyDescent="0.25">
      <c r="A33" s="8" t="s">
        <v>352</v>
      </c>
      <c r="B33" s="44" t="s">
        <v>428</v>
      </c>
      <c r="C33" s="8" t="s">
        <v>396</v>
      </c>
    </row>
    <row r="34" spans="1:7" x14ac:dyDescent="0.25">
      <c r="A34" s="8" t="s">
        <v>355</v>
      </c>
      <c r="B34" s="44" t="s">
        <v>429</v>
      </c>
      <c r="C34" s="8" t="s">
        <v>397</v>
      </c>
    </row>
    <row r="35" spans="1:7" x14ac:dyDescent="0.25">
      <c r="A35" s="8" t="s">
        <v>353</v>
      </c>
      <c r="B35" s="44" t="s">
        <v>395</v>
      </c>
      <c r="C35" s="8" t="s">
        <v>398</v>
      </c>
    </row>
    <row r="36" spans="1:7" x14ac:dyDescent="0.25">
      <c r="A36" s="8" t="s">
        <v>352</v>
      </c>
      <c r="B36" s="44" t="s">
        <v>430</v>
      </c>
      <c r="C36" s="8" t="s">
        <v>380</v>
      </c>
    </row>
    <row r="37" spans="1:7" x14ac:dyDescent="0.25">
      <c r="A37" s="8" t="s">
        <v>355</v>
      </c>
      <c r="B37" s="44" t="s">
        <v>431</v>
      </c>
      <c r="C37" s="8" t="s">
        <v>378</v>
      </c>
    </row>
    <row r="41" spans="1:7" x14ac:dyDescent="0.25">
      <c r="A41" s="1" t="s">
        <v>495</v>
      </c>
    </row>
    <row r="42" spans="1:7" ht="15.75" thickBot="1" x14ac:dyDescent="0.3">
      <c r="A42" s="1"/>
    </row>
    <row r="43" spans="1:7" x14ac:dyDescent="0.25">
      <c r="A43" s="14" t="s">
        <v>264</v>
      </c>
      <c r="B43" s="23" t="s">
        <v>316</v>
      </c>
      <c r="C43" s="24" t="s">
        <v>317</v>
      </c>
      <c r="D43" s="24" t="s">
        <v>323</v>
      </c>
      <c r="E43" s="25" t="s">
        <v>324</v>
      </c>
      <c r="F43" t="s">
        <v>417</v>
      </c>
      <c r="G43" t="s">
        <v>418</v>
      </c>
    </row>
    <row r="44" spans="1:7" ht="15.75" thickBot="1" x14ac:dyDescent="0.3">
      <c r="A44" s="14" t="s">
        <v>265</v>
      </c>
      <c r="B44" s="64" t="s">
        <v>579</v>
      </c>
      <c r="C44" s="63" t="s">
        <v>580</v>
      </c>
      <c r="D44" s="62"/>
      <c r="E44" s="61"/>
      <c r="F44" s="64" t="s">
        <v>581</v>
      </c>
      <c r="G44" s="63" t="s">
        <v>580</v>
      </c>
    </row>
    <row r="46" spans="1:7" x14ac:dyDescent="0.25">
      <c r="A46" s="43" t="s">
        <v>307</v>
      </c>
    </row>
    <row r="47" spans="1:7" x14ac:dyDescent="0.25">
      <c r="A47" s="14" t="s">
        <v>318</v>
      </c>
      <c r="B47" t="s">
        <v>319</v>
      </c>
    </row>
    <row r="48" spans="1:7" ht="15.75" thickBot="1" x14ac:dyDescent="0.3">
      <c r="A48" s="14" t="s">
        <v>356</v>
      </c>
      <c r="B48" s="3"/>
    </row>
    <row r="49" spans="1:10" x14ac:dyDescent="0.25">
      <c r="A49" s="65"/>
      <c r="B49" s="66"/>
      <c r="C49" s="66"/>
      <c r="D49" s="66"/>
    </row>
    <row r="50" spans="1:10" ht="15.75" thickBot="1" x14ac:dyDescent="0.3">
      <c r="A50" s="60"/>
      <c r="B50" s="62"/>
      <c r="C50" s="62"/>
      <c r="D50" s="62"/>
    </row>
    <row r="52" spans="1:10" ht="15.75" thickBot="1" x14ac:dyDescent="0.3">
      <c r="A52" s="1" t="s">
        <v>329</v>
      </c>
    </row>
    <row r="53" spans="1:10" x14ac:dyDescent="0.25">
      <c r="A53" s="14" t="s">
        <v>264</v>
      </c>
      <c r="B53" s="23" t="s">
        <v>327</v>
      </c>
      <c r="C53" s="25" t="s">
        <v>328</v>
      </c>
    </row>
    <row r="54" spans="1:10" ht="15.75" thickBot="1" x14ac:dyDescent="0.3">
      <c r="A54" s="14" t="s">
        <v>265</v>
      </c>
      <c r="B54" s="60">
        <f>COUNTA(A61:A180)</f>
        <v>120</v>
      </c>
      <c r="C54" s="61">
        <f>COUNTA(I61:I81)</f>
        <v>20</v>
      </c>
    </row>
    <row r="56" spans="1:10" x14ac:dyDescent="0.25">
      <c r="A56" s="1" t="s">
        <v>389</v>
      </c>
      <c r="E56" t="s">
        <v>259</v>
      </c>
      <c r="F56" s="1" t="s">
        <v>399</v>
      </c>
      <c r="H56" t="s">
        <v>259</v>
      </c>
    </row>
    <row r="58" spans="1:10" x14ac:dyDescent="0.25">
      <c r="A58" s="14" t="s">
        <v>357</v>
      </c>
      <c r="B58" t="s">
        <v>368</v>
      </c>
      <c r="F58" s="14" t="s">
        <v>318</v>
      </c>
      <c r="G58" t="s">
        <v>369</v>
      </c>
    </row>
    <row r="59" spans="1:10" ht="15.75" thickBot="1" x14ac:dyDescent="0.3">
      <c r="A59" s="14" t="s">
        <v>356</v>
      </c>
      <c r="B59" s="3" t="s">
        <v>563</v>
      </c>
      <c r="F59" s="14" t="s">
        <v>356</v>
      </c>
      <c r="G59" s="3" t="s">
        <v>518</v>
      </c>
    </row>
    <row r="60" spans="1:10" x14ac:dyDescent="0.25">
      <c r="A60" s="42" t="s">
        <v>43</v>
      </c>
      <c r="B60" s="6" t="s">
        <v>42</v>
      </c>
      <c r="C60" s="6" t="s">
        <v>1</v>
      </c>
      <c r="D60" s="6" t="s">
        <v>0</v>
      </c>
      <c r="F60" s="37" t="s">
        <v>390</v>
      </c>
      <c r="G60" s="25" t="s">
        <v>257</v>
      </c>
      <c r="I60" s="1" t="s">
        <v>390</v>
      </c>
      <c r="J60" s="1" t="s">
        <v>257</v>
      </c>
    </row>
    <row r="61" spans="1:10" x14ac:dyDescent="0.25">
      <c r="A61" s="36" t="s">
        <v>87</v>
      </c>
      <c r="B61" s="36" t="s">
        <v>86</v>
      </c>
      <c r="C61" s="36" t="s">
        <v>41</v>
      </c>
      <c r="D61" s="31" t="s">
        <v>40</v>
      </c>
      <c r="F61" s="38" t="s">
        <v>4</v>
      </c>
      <c r="G61" s="39">
        <v>10</v>
      </c>
      <c r="I61" s="38" t="s">
        <v>4</v>
      </c>
      <c r="J61">
        <f>COUNTIF($C$61:$C$180,I61)</f>
        <v>7</v>
      </c>
    </row>
    <row r="62" spans="1:10" x14ac:dyDescent="0.25">
      <c r="A62" s="36" t="s">
        <v>203</v>
      </c>
      <c r="B62" s="36" t="s">
        <v>202</v>
      </c>
      <c r="C62" s="36" t="s">
        <v>32</v>
      </c>
      <c r="D62" s="3" t="s">
        <v>31</v>
      </c>
      <c r="F62" s="38" t="s">
        <v>6</v>
      </c>
      <c r="G62" s="39">
        <v>8</v>
      </c>
      <c r="I62" s="38" t="s">
        <v>6</v>
      </c>
      <c r="J62">
        <f>COUNTIF($C$61:$C$180,I62)</f>
        <v>7</v>
      </c>
    </row>
    <row r="63" spans="1:10" x14ac:dyDescent="0.25">
      <c r="A63" s="36" t="s">
        <v>101</v>
      </c>
      <c r="B63" s="36" t="s">
        <v>100</v>
      </c>
      <c r="C63" s="36" t="s">
        <v>21</v>
      </c>
      <c r="D63" s="36" t="s">
        <v>20</v>
      </c>
      <c r="F63" s="38" t="s">
        <v>560</v>
      </c>
      <c r="G63" s="39">
        <v>8</v>
      </c>
      <c r="I63" s="38" t="s">
        <v>560</v>
      </c>
      <c r="J63">
        <f>COUNTIF($C$61:$C$180,I63)</f>
        <v>13</v>
      </c>
    </row>
    <row r="64" spans="1:10" x14ac:dyDescent="0.25">
      <c r="A64" s="36" t="s">
        <v>103</v>
      </c>
      <c r="B64" s="36" t="s">
        <v>102</v>
      </c>
      <c r="C64" s="36" t="s">
        <v>30</v>
      </c>
      <c r="D64" s="3" t="s">
        <v>29</v>
      </c>
      <c r="F64" s="38" t="s">
        <v>9</v>
      </c>
      <c r="G64" s="39">
        <v>6</v>
      </c>
      <c r="I64" s="38"/>
    </row>
    <row r="65" spans="1:10" x14ac:dyDescent="0.25">
      <c r="A65" s="36" t="s">
        <v>52</v>
      </c>
      <c r="B65" s="36" t="s">
        <v>51</v>
      </c>
      <c r="C65" s="36" t="s">
        <v>21</v>
      </c>
      <c r="D65" s="36" t="s">
        <v>20</v>
      </c>
      <c r="F65" s="38" t="s">
        <v>11</v>
      </c>
      <c r="G65" s="39">
        <v>7</v>
      </c>
      <c r="I65" s="38" t="s">
        <v>11</v>
      </c>
      <c r="J65">
        <f t="shared" ref="J65:J81" si="1">COUNTIF($C$61:$C$180,I65)</f>
        <v>6</v>
      </c>
    </row>
    <row r="66" spans="1:10" x14ac:dyDescent="0.25">
      <c r="A66" s="36" t="s">
        <v>82</v>
      </c>
      <c r="B66" s="36" t="s">
        <v>81</v>
      </c>
      <c r="C66" s="36" t="s">
        <v>560</v>
      </c>
      <c r="D66" s="3" t="s">
        <v>8</v>
      </c>
      <c r="F66" s="38" t="s">
        <v>13</v>
      </c>
      <c r="G66" s="39">
        <v>4</v>
      </c>
      <c r="I66" s="38" t="s">
        <v>467</v>
      </c>
      <c r="J66">
        <f t="shared" si="1"/>
        <v>3</v>
      </c>
    </row>
    <row r="67" spans="1:10" x14ac:dyDescent="0.25">
      <c r="A67" s="36" t="s">
        <v>239</v>
      </c>
      <c r="B67" s="36" t="s">
        <v>238</v>
      </c>
      <c r="C67" s="36" t="s">
        <v>17</v>
      </c>
      <c r="D67" s="36" t="s">
        <v>16</v>
      </c>
      <c r="F67" s="38" t="s">
        <v>15</v>
      </c>
      <c r="G67" s="39">
        <v>4</v>
      </c>
      <c r="I67" s="38" t="s">
        <v>15</v>
      </c>
      <c r="J67">
        <f t="shared" si="1"/>
        <v>4</v>
      </c>
    </row>
    <row r="68" spans="1:10" x14ac:dyDescent="0.25">
      <c r="A68" s="36" t="s">
        <v>157</v>
      </c>
      <c r="B68" s="36" t="s">
        <v>156</v>
      </c>
      <c r="C68" s="36" t="s">
        <v>11</v>
      </c>
      <c r="D68" s="3" t="s">
        <v>10</v>
      </c>
      <c r="F68" s="38" t="s">
        <v>17</v>
      </c>
      <c r="G68" s="39">
        <v>4</v>
      </c>
      <c r="I68" s="38" t="s">
        <v>17</v>
      </c>
      <c r="J68">
        <f t="shared" si="1"/>
        <v>4</v>
      </c>
    </row>
    <row r="69" spans="1:10" x14ac:dyDescent="0.25">
      <c r="A69" s="36" t="s">
        <v>62</v>
      </c>
      <c r="B69" s="36" t="s">
        <v>61</v>
      </c>
      <c r="C69" s="36" t="s">
        <v>41</v>
      </c>
      <c r="D69" s="36" t="s">
        <v>40</v>
      </c>
      <c r="F69" s="38" t="s">
        <v>19</v>
      </c>
      <c r="G69" s="39">
        <v>4</v>
      </c>
      <c r="I69" s="38" t="s">
        <v>19</v>
      </c>
      <c r="J69">
        <f t="shared" si="1"/>
        <v>4</v>
      </c>
    </row>
    <row r="70" spans="1:10" x14ac:dyDescent="0.25">
      <c r="A70" s="36" t="s">
        <v>245</v>
      </c>
      <c r="B70" s="36" t="s">
        <v>244</v>
      </c>
      <c r="C70" s="36" t="s">
        <v>34</v>
      </c>
      <c r="D70" s="3" t="s">
        <v>33</v>
      </c>
      <c r="F70" s="38" t="s">
        <v>21</v>
      </c>
      <c r="G70" s="39">
        <v>3</v>
      </c>
      <c r="I70" s="38" t="s">
        <v>21</v>
      </c>
      <c r="J70">
        <f t="shared" si="1"/>
        <v>3</v>
      </c>
    </row>
    <row r="71" spans="1:10" x14ac:dyDescent="0.25">
      <c r="A71" s="36" t="s">
        <v>459</v>
      </c>
      <c r="B71" s="36" t="s">
        <v>230</v>
      </c>
      <c r="C71" s="36" t="s">
        <v>41</v>
      </c>
      <c r="D71" s="36" t="s">
        <v>40</v>
      </c>
      <c r="F71" s="38" t="s">
        <v>23</v>
      </c>
      <c r="G71" s="39">
        <v>8</v>
      </c>
      <c r="I71" s="38" t="s">
        <v>23</v>
      </c>
      <c r="J71">
        <f t="shared" si="1"/>
        <v>8</v>
      </c>
    </row>
    <row r="72" spans="1:10" x14ac:dyDescent="0.25">
      <c r="A72" s="36" t="s">
        <v>114</v>
      </c>
      <c r="B72" s="36" t="s">
        <v>113</v>
      </c>
      <c r="C72" s="36" t="s">
        <v>560</v>
      </c>
      <c r="D72" s="3" t="s">
        <v>7</v>
      </c>
      <c r="F72" s="38" t="s">
        <v>58</v>
      </c>
      <c r="G72" s="39">
        <v>4</v>
      </c>
      <c r="I72" s="38" t="s">
        <v>58</v>
      </c>
      <c r="J72">
        <f t="shared" si="1"/>
        <v>4</v>
      </c>
    </row>
    <row r="73" spans="1:10" x14ac:dyDescent="0.25">
      <c r="A73" s="36" t="s">
        <v>181</v>
      </c>
      <c r="B73" s="36" t="s">
        <v>180</v>
      </c>
      <c r="C73" s="36" t="s">
        <v>460</v>
      </c>
      <c r="D73" s="36" t="s">
        <v>37</v>
      </c>
      <c r="F73" s="38" t="s">
        <v>295</v>
      </c>
      <c r="G73" s="39">
        <v>9</v>
      </c>
      <c r="I73" s="38" t="s">
        <v>460</v>
      </c>
      <c r="J73">
        <f t="shared" si="1"/>
        <v>9</v>
      </c>
    </row>
    <row r="74" spans="1:10" x14ac:dyDescent="0.25">
      <c r="A74" s="36" t="s">
        <v>106</v>
      </c>
      <c r="B74" s="36" t="s">
        <v>105</v>
      </c>
      <c r="C74" s="36" t="s">
        <v>30</v>
      </c>
      <c r="D74" s="3" t="s">
        <v>29</v>
      </c>
      <c r="F74" s="38" t="s">
        <v>26</v>
      </c>
      <c r="G74" s="39">
        <v>8</v>
      </c>
      <c r="I74" s="38" t="s">
        <v>464</v>
      </c>
      <c r="J74">
        <f t="shared" si="1"/>
        <v>6</v>
      </c>
    </row>
    <row r="75" spans="1:10" x14ac:dyDescent="0.25">
      <c r="A75" s="36" t="s">
        <v>461</v>
      </c>
      <c r="B75" s="36" t="s">
        <v>139</v>
      </c>
      <c r="C75" s="36" t="s">
        <v>4</v>
      </c>
      <c r="D75" s="36" t="s">
        <v>3</v>
      </c>
      <c r="E75" s="158" t="s">
        <v>561</v>
      </c>
      <c r="F75" s="38" t="s">
        <v>28</v>
      </c>
      <c r="G75" s="39">
        <v>3</v>
      </c>
      <c r="I75" s="38" t="s">
        <v>28</v>
      </c>
      <c r="J75">
        <f t="shared" si="1"/>
        <v>3</v>
      </c>
    </row>
    <row r="76" spans="1:10" x14ac:dyDescent="0.25">
      <c r="A76" s="36" t="s">
        <v>243</v>
      </c>
      <c r="B76" s="36" t="s">
        <v>242</v>
      </c>
      <c r="C76" s="36" t="s">
        <v>23</v>
      </c>
      <c r="D76" s="3" t="s">
        <v>22</v>
      </c>
      <c r="E76" s="158" t="s">
        <v>562</v>
      </c>
      <c r="F76" s="38" t="s">
        <v>30</v>
      </c>
      <c r="G76" s="39">
        <v>4</v>
      </c>
      <c r="I76" s="38" t="s">
        <v>30</v>
      </c>
      <c r="J76">
        <f t="shared" si="1"/>
        <v>5</v>
      </c>
    </row>
    <row r="77" spans="1:10" x14ac:dyDescent="0.25">
      <c r="A77" s="36" t="s">
        <v>130</v>
      </c>
      <c r="B77" s="36" t="s">
        <v>129</v>
      </c>
      <c r="C77" s="36" t="s">
        <v>460</v>
      </c>
      <c r="D77" s="36" t="s">
        <v>37</v>
      </c>
      <c r="F77" s="38" t="s">
        <v>32</v>
      </c>
      <c r="G77" s="39">
        <v>6</v>
      </c>
      <c r="I77" s="38" t="s">
        <v>32</v>
      </c>
      <c r="J77">
        <f t="shared" si="1"/>
        <v>6</v>
      </c>
    </row>
    <row r="78" spans="1:10" x14ac:dyDescent="0.25">
      <c r="A78" s="36" t="s">
        <v>165</v>
      </c>
      <c r="B78" s="36" t="s">
        <v>164</v>
      </c>
      <c r="C78" s="36" t="s">
        <v>15</v>
      </c>
      <c r="D78" s="3" t="s">
        <v>14</v>
      </c>
      <c r="F78" s="38" t="s">
        <v>34</v>
      </c>
      <c r="G78" s="39">
        <v>3</v>
      </c>
      <c r="I78" s="38" t="s">
        <v>34</v>
      </c>
      <c r="J78">
        <f t="shared" si="1"/>
        <v>4</v>
      </c>
    </row>
    <row r="79" spans="1:10" x14ac:dyDescent="0.25">
      <c r="A79" s="36" t="s">
        <v>176</v>
      </c>
      <c r="B79" s="36" t="s">
        <v>175</v>
      </c>
      <c r="C79" s="36" t="s">
        <v>30</v>
      </c>
      <c r="D79" s="36" t="s">
        <v>29</v>
      </c>
      <c r="F79" s="38" t="s">
        <v>36</v>
      </c>
      <c r="G79" s="39">
        <v>6</v>
      </c>
      <c r="I79" s="38" t="s">
        <v>36</v>
      </c>
      <c r="J79">
        <f t="shared" si="1"/>
        <v>6</v>
      </c>
    </row>
    <row r="80" spans="1:10" x14ac:dyDescent="0.25">
      <c r="A80" s="36" t="s">
        <v>73</v>
      </c>
      <c r="B80" s="36" t="s">
        <v>72</v>
      </c>
      <c r="C80" s="36" t="s">
        <v>36</v>
      </c>
      <c r="D80" s="3" t="s">
        <v>35</v>
      </c>
      <c r="F80" s="38" t="s">
        <v>39</v>
      </c>
      <c r="G80" s="39">
        <v>12</v>
      </c>
      <c r="I80" s="38" t="s">
        <v>39</v>
      </c>
      <c r="J80">
        <f t="shared" si="1"/>
        <v>12</v>
      </c>
    </row>
    <row r="81" spans="1:10" x14ac:dyDescent="0.25">
      <c r="A81" s="36" t="s">
        <v>462</v>
      </c>
      <c r="B81" s="36" t="s">
        <v>166</v>
      </c>
      <c r="C81" s="36" t="s">
        <v>39</v>
      </c>
      <c r="D81" s="36" t="s">
        <v>38</v>
      </c>
      <c r="F81" s="38" t="s">
        <v>41</v>
      </c>
      <c r="G81" s="39">
        <v>5</v>
      </c>
      <c r="I81" s="38" t="s">
        <v>41</v>
      </c>
      <c r="J81">
        <f t="shared" si="1"/>
        <v>6</v>
      </c>
    </row>
    <row r="82" spans="1:10" ht="15.75" thickBot="1" x14ac:dyDescent="0.3">
      <c r="A82" s="36" t="s">
        <v>224</v>
      </c>
      <c r="B82" s="36" t="s">
        <v>223</v>
      </c>
      <c r="C82" s="36" t="s">
        <v>560</v>
      </c>
      <c r="D82" s="36" t="s">
        <v>8</v>
      </c>
      <c r="F82" s="40" t="s">
        <v>256</v>
      </c>
      <c r="G82" s="26">
        <v>126</v>
      </c>
      <c r="I82" s="1" t="s">
        <v>256</v>
      </c>
      <c r="J82">
        <f>SUM(J61:J81)</f>
        <v>120</v>
      </c>
    </row>
    <row r="83" spans="1:10" ht="15.75" thickBot="1" x14ac:dyDescent="0.3">
      <c r="A83" s="36" t="s">
        <v>138</v>
      </c>
      <c r="B83" s="36" t="s">
        <v>137</v>
      </c>
      <c r="C83" s="36" t="s">
        <v>4</v>
      </c>
      <c r="D83" s="3" t="s">
        <v>3</v>
      </c>
    </row>
    <row r="84" spans="1:10" ht="15.75" thickBot="1" x14ac:dyDescent="0.3">
      <c r="A84" s="36" t="s">
        <v>213</v>
      </c>
      <c r="B84" s="36" t="s">
        <v>212</v>
      </c>
      <c r="C84" s="36" t="s">
        <v>15</v>
      </c>
      <c r="D84" s="36" t="s">
        <v>14</v>
      </c>
      <c r="F84" s="41" t="s">
        <v>288</v>
      </c>
      <c r="G84" s="59">
        <f>MAX(G61:G81)</f>
        <v>12</v>
      </c>
      <c r="I84" s="41" t="s">
        <v>288</v>
      </c>
      <c r="J84" s="59">
        <f>MAX(J61:J81)</f>
        <v>13</v>
      </c>
    </row>
    <row r="85" spans="1:10" x14ac:dyDescent="0.25">
      <c r="A85" s="36" t="s">
        <v>247</v>
      </c>
      <c r="B85" s="36" t="s">
        <v>246</v>
      </c>
      <c r="C85" s="36" t="s">
        <v>17</v>
      </c>
      <c r="D85" s="3" t="s">
        <v>16</v>
      </c>
    </row>
    <row r="86" spans="1:10" x14ac:dyDescent="0.25">
      <c r="A86" s="36" t="s">
        <v>93</v>
      </c>
      <c r="B86" s="36" t="s">
        <v>92</v>
      </c>
      <c r="C86" s="36" t="s">
        <v>560</v>
      </c>
      <c r="D86" s="36" t="s">
        <v>7</v>
      </c>
    </row>
    <row r="87" spans="1:10" x14ac:dyDescent="0.25">
      <c r="A87" s="36" t="s">
        <v>234</v>
      </c>
      <c r="B87" s="36" t="s">
        <v>233</v>
      </c>
      <c r="C87" s="36" t="s">
        <v>32</v>
      </c>
      <c r="D87" s="3" t="s">
        <v>31</v>
      </c>
    </row>
    <row r="88" spans="1:10" x14ac:dyDescent="0.25">
      <c r="A88" s="36" t="s">
        <v>463</v>
      </c>
      <c r="B88" s="36" t="s">
        <v>211</v>
      </c>
      <c r="C88" s="36" t="s">
        <v>460</v>
      </c>
      <c r="D88" s="36" t="s">
        <v>37</v>
      </c>
    </row>
    <row r="89" spans="1:10" x14ac:dyDescent="0.25">
      <c r="A89" s="36" t="s">
        <v>95</v>
      </c>
      <c r="B89" s="36" t="s">
        <v>94</v>
      </c>
      <c r="C89" s="36" t="s">
        <v>32</v>
      </c>
      <c r="D89" s="3" t="s">
        <v>31</v>
      </c>
    </row>
    <row r="90" spans="1:10" x14ac:dyDescent="0.25">
      <c r="A90" s="36" t="s">
        <v>185</v>
      </c>
      <c r="B90" s="36" t="s">
        <v>184</v>
      </c>
      <c r="C90" s="36" t="s">
        <v>23</v>
      </c>
      <c r="D90" s="36" t="s">
        <v>22</v>
      </c>
    </row>
    <row r="91" spans="1:10" x14ac:dyDescent="0.25">
      <c r="A91" s="36" t="s">
        <v>152</v>
      </c>
      <c r="B91" s="36" t="s">
        <v>151</v>
      </c>
      <c r="C91" s="36" t="s">
        <v>39</v>
      </c>
      <c r="D91" s="3" t="s">
        <v>38</v>
      </c>
    </row>
    <row r="92" spans="1:10" x14ac:dyDescent="0.25">
      <c r="A92" s="36" t="s">
        <v>196</v>
      </c>
      <c r="B92" s="36" t="s">
        <v>195</v>
      </c>
      <c r="C92" s="36" t="s">
        <v>464</v>
      </c>
      <c r="D92" s="36" t="s">
        <v>25</v>
      </c>
    </row>
    <row r="93" spans="1:10" x14ac:dyDescent="0.25">
      <c r="A93" s="36" t="s">
        <v>161</v>
      </c>
      <c r="B93" s="36" t="s">
        <v>160</v>
      </c>
      <c r="C93" s="36" t="s">
        <v>34</v>
      </c>
      <c r="D93" s="3" t="s">
        <v>33</v>
      </c>
    </row>
    <row r="94" spans="1:10" x14ac:dyDescent="0.25">
      <c r="A94" s="36" t="s">
        <v>126</v>
      </c>
      <c r="B94" s="36" t="s">
        <v>125</v>
      </c>
      <c r="C94" s="36" t="s">
        <v>28</v>
      </c>
      <c r="D94" s="36" t="s">
        <v>27</v>
      </c>
    </row>
    <row r="95" spans="1:10" x14ac:dyDescent="0.25">
      <c r="A95" s="36" t="s">
        <v>163</v>
      </c>
      <c r="B95" s="36" t="s">
        <v>162</v>
      </c>
      <c r="C95" s="36" t="s">
        <v>36</v>
      </c>
      <c r="D95" s="3" t="s">
        <v>35</v>
      </c>
    </row>
    <row r="96" spans="1:10" x14ac:dyDescent="0.25">
      <c r="A96" s="36" t="s">
        <v>85</v>
      </c>
      <c r="B96" s="36" t="s">
        <v>84</v>
      </c>
      <c r="C96" s="36" t="s">
        <v>41</v>
      </c>
      <c r="D96" s="36" t="s">
        <v>40</v>
      </c>
    </row>
    <row r="97" spans="1:4" x14ac:dyDescent="0.25">
      <c r="A97" s="36" t="s">
        <v>465</v>
      </c>
      <c r="B97" s="36" t="s">
        <v>69</v>
      </c>
      <c r="C97" s="36" t="s">
        <v>460</v>
      </c>
      <c r="D97" s="3" t="s">
        <v>37</v>
      </c>
    </row>
    <row r="98" spans="1:4" x14ac:dyDescent="0.25">
      <c r="A98" s="36" t="s">
        <v>466</v>
      </c>
      <c r="B98" s="36" t="s">
        <v>183</v>
      </c>
      <c r="C98" s="36" t="s">
        <v>21</v>
      </c>
      <c r="D98" s="3" t="s">
        <v>20</v>
      </c>
    </row>
    <row r="99" spans="1:4" x14ac:dyDescent="0.25">
      <c r="A99" s="36" t="s">
        <v>216</v>
      </c>
      <c r="B99" s="36" t="s">
        <v>215</v>
      </c>
      <c r="C99" s="36" t="s">
        <v>467</v>
      </c>
      <c r="D99" s="36" t="s">
        <v>12</v>
      </c>
    </row>
    <row r="100" spans="1:4" x14ac:dyDescent="0.25">
      <c r="A100" s="36" t="s">
        <v>251</v>
      </c>
      <c r="B100" s="36" t="s">
        <v>250</v>
      </c>
      <c r="C100" s="36" t="s">
        <v>460</v>
      </c>
      <c r="D100" s="3" t="s">
        <v>37</v>
      </c>
    </row>
    <row r="101" spans="1:4" x14ac:dyDescent="0.25">
      <c r="A101" s="36" t="s">
        <v>468</v>
      </c>
      <c r="B101" s="36" t="s">
        <v>50</v>
      </c>
      <c r="C101" s="36" t="s">
        <v>36</v>
      </c>
      <c r="D101" s="36" t="s">
        <v>35</v>
      </c>
    </row>
    <row r="102" spans="1:4" x14ac:dyDescent="0.25">
      <c r="A102" s="36" t="s">
        <v>110</v>
      </c>
      <c r="B102" s="36" t="s">
        <v>109</v>
      </c>
      <c r="C102" s="36" t="s">
        <v>560</v>
      </c>
      <c r="D102" s="3" t="s">
        <v>7</v>
      </c>
    </row>
    <row r="103" spans="1:4" x14ac:dyDescent="0.25">
      <c r="A103" s="36" t="s">
        <v>170</v>
      </c>
      <c r="B103" s="36" t="s">
        <v>169</v>
      </c>
      <c r="C103" s="36" t="s">
        <v>6</v>
      </c>
      <c r="D103" s="36" t="s">
        <v>5</v>
      </c>
    </row>
    <row r="104" spans="1:4" x14ac:dyDescent="0.25">
      <c r="A104" s="36" t="s">
        <v>141</v>
      </c>
      <c r="B104" s="36" t="s">
        <v>140</v>
      </c>
      <c r="C104" s="36" t="s">
        <v>28</v>
      </c>
      <c r="D104" s="3" t="s">
        <v>27</v>
      </c>
    </row>
    <row r="105" spans="1:4" x14ac:dyDescent="0.25">
      <c r="A105" s="36" t="s">
        <v>71</v>
      </c>
      <c r="B105" s="36" t="s">
        <v>70</v>
      </c>
      <c r="C105" s="36" t="s">
        <v>460</v>
      </c>
      <c r="D105" s="36" t="s">
        <v>37</v>
      </c>
    </row>
    <row r="106" spans="1:4" x14ac:dyDescent="0.25">
      <c r="A106" s="36" t="s">
        <v>241</v>
      </c>
      <c r="B106" s="36" t="s">
        <v>240</v>
      </c>
      <c r="C106" s="36" t="s">
        <v>17</v>
      </c>
      <c r="D106" s="3" t="s">
        <v>16</v>
      </c>
    </row>
    <row r="107" spans="1:4" x14ac:dyDescent="0.25">
      <c r="A107" s="36" t="s">
        <v>187</v>
      </c>
      <c r="B107" s="36" t="s">
        <v>186</v>
      </c>
      <c r="C107" s="36" t="s">
        <v>41</v>
      </c>
      <c r="D107" s="36" t="s">
        <v>40</v>
      </c>
    </row>
    <row r="108" spans="1:4" x14ac:dyDescent="0.25">
      <c r="A108" s="36" t="s">
        <v>128</v>
      </c>
      <c r="B108" s="36" t="s">
        <v>127</v>
      </c>
      <c r="C108" s="36" t="s">
        <v>28</v>
      </c>
      <c r="D108" s="3" t="s">
        <v>27</v>
      </c>
    </row>
    <row r="109" spans="1:4" x14ac:dyDescent="0.25">
      <c r="A109" s="36" t="s">
        <v>99</v>
      </c>
      <c r="B109" s="36" t="s">
        <v>98</v>
      </c>
      <c r="C109" s="36" t="s">
        <v>4</v>
      </c>
      <c r="D109" s="3" t="s">
        <v>3</v>
      </c>
    </row>
    <row r="110" spans="1:4" x14ac:dyDescent="0.25">
      <c r="A110" s="36" t="s">
        <v>469</v>
      </c>
      <c r="B110" s="36" t="s">
        <v>53</v>
      </c>
      <c r="C110" s="36" t="s">
        <v>460</v>
      </c>
      <c r="D110" s="36" t="s">
        <v>37</v>
      </c>
    </row>
    <row r="111" spans="1:4" x14ac:dyDescent="0.25">
      <c r="A111" s="36" t="s">
        <v>221</v>
      </c>
      <c r="B111" s="36" t="s">
        <v>220</v>
      </c>
      <c r="C111" s="36" t="s">
        <v>15</v>
      </c>
      <c r="D111" s="3" t="s">
        <v>14</v>
      </c>
    </row>
    <row r="112" spans="1:4" x14ac:dyDescent="0.25">
      <c r="A112" s="36" t="s">
        <v>45</v>
      </c>
      <c r="B112" s="36" t="s">
        <v>44</v>
      </c>
      <c r="C112" s="36" t="s">
        <v>11</v>
      </c>
      <c r="D112" s="36" t="s">
        <v>10</v>
      </c>
    </row>
    <row r="113" spans="1:4" x14ac:dyDescent="0.25">
      <c r="A113" s="36" t="s">
        <v>178</v>
      </c>
      <c r="B113" s="36" t="s">
        <v>177</v>
      </c>
      <c r="C113" s="36" t="s">
        <v>15</v>
      </c>
      <c r="D113" s="3" t="s">
        <v>14</v>
      </c>
    </row>
    <row r="114" spans="1:4" x14ac:dyDescent="0.25">
      <c r="A114" s="36" t="s">
        <v>470</v>
      </c>
      <c r="B114" s="36" t="s">
        <v>78</v>
      </c>
      <c r="C114" s="36" t="s">
        <v>4</v>
      </c>
      <c r="D114" s="36" t="s">
        <v>3</v>
      </c>
    </row>
    <row r="115" spans="1:4" x14ac:dyDescent="0.25">
      <c r="A115" s="36" t="s">
        <v>64</v>
      </c>
      <c r="B115" s="36" t="s">
        <v>63</v>
      </c>
      <c r="C115" s="36" t="s">
        <v>560</v>
      </c>
      <c r="D115" s="36" t="s">
        <v>8</v>
      </c>
    </row>
    <row r="116" spans="1:4" x14ac:dyDescent="0.25">
      <c r="A116" s="36" t="s">
        <v>80</v>
      </c>
      <c r="B116" s="36" t="s">
        <v>79</v>
      </c>
      <c r="C116" s="36" t="s">
        <v>4</v>
      </c>
      <c r="D116" s="3" t="s">
        <v>3</v>
      </c>
    </row>
    <row r="117" spans="1:4" x14ac:dyDescent="0.25">
      <c r="A117" s="36" t="s">
        <v>471</v>
      </c>
      <c r="B117" s="36" t="s">
        <v>235</v>
      </c>
      <c r="C117" s="36" t="s">
        <v>41</v>
      </c>
      <c r="D117" s="36" t="s">
        <v>40</v>
      </c>
    </row>
    <row r="118" spans="1:4" x14ac:dyDescent="0.25">
      <c r="A118" s="36" t="s">
        <v>91</v>
      </c>
      <c r="B118" s="36" t="s">
        <v>90</v>
      </c>
      <c r="C118" s="36" t="s">
        <v>560</v>
      </c>
      <c r="D118" s="3" t="s">
        <v>8</v>
      </c>
    </row>
    <row r="119" spans="1:4" x14ac:dyDescent="0.25">
      <c r="A119" s="36" t="s">
        <v>472</v>
      </c>
      <c r="B119" s="36" t="s">
        <v>194</v>
      </c>
      <c r="C119" s="36" t="s">
        <v>23</v>
      </c>
      <c r="D119" s="36" t="s">
        <v>22</v>
      </c>
    </row>
    <row r="120" spans="1:4" x14ac:dyDescent="0.25">
      <c r="A120" s="36" t="s">
        <v>154</v>
      </c>
      <c r="B120" s="36" t="s">
        <v>153</v>
      </c>
      <c r="C120" s="36" t="s">
        <v>560</v>
      </c>
      <c r="D120" s="36" t="s">
        <v>7</v>
      </c>
    </row>
    <row r="121" spans="1:4" x14ac:dyDescent="0.25">
      <c r="A121" s="36" t="s">
        <v>210</v>
      </c>
      <c r="B121" s="36" t="s">
        <v>209</v>
      </c>
      <c r="C121" s="36" t="s">
        <v>464</v>
      </c>
      <c r="D121" s="3" t="s">
        <v>25</v>
      </c>
    </row>
    <row r="122" spans="1:4" x14ac:dyDescent="0.25">
      <c r="A122" s="36" t="s">
        <v>168</v>
      </c>
      <c r="B122" s="36" t="s">
        <v>167</v>
      </c>
      <c r="C122" s="36" t="s">
        <v>23</v>
      </c>
      <c r="D122" s="36" t="s">
        <v>22</v>
      </c>
    </row>
    <row r="123" spans="1:4" x14ac:dyDescent="0.25">
      <c r="A123" s="36" t="s">
        <v>68</v>
      </c>
      <c r="B123" s="36" t="s">
        <v>67</v>
      </c>
      <c r="C123" s="36" t="s">
        <v>19</v>
      </c>
      <c r="D123" s="3" t="s">
        <v>18</v>
      </c>
    </row>
    <row r="124" spans="1:4" x14ac:dyDescent="0.25">
      <c r="A124" s="36" t="s">
        <v>473</v>
      </c>
      <c r="B124" s="36" t="s">
        <v>214</v>
      </c>
      <c r="C124" s="36" t="s">
        <v>23</v>
      </c>
      <c r="D124" s="36" t="s">
        <v>22</v>
      </c>
    </row>
    <row r="125" spans="1:4" x14ac:dyDescent="0.25">
      <c r="A125" s="36" t="s">
        <v>108</v>
      </c>
      <c r="B125" s="36" t="s">
        <v>107</v>
      </c>
      <c r="C125" s="36" t="s">
        <v>560</v>
      </c>
      <c r="D125" s="3" t="s">
        <v>7</v>
      </c>
    </row>
    <row r="126" spans="1:4" x14ac:dyDescent="0.25">
      <c r="A126" s="36" t="s">
        <v>172</v>
      </c>
      <c r="B126" s="36" t="s">
        <v>171</v>
      </c>
      <c r="C126" s="36" t="s">
        <v>6</v>
      </c>
      <c r="D126" s="36" t="s">
        <v>5</v>
      </c>
    </row>
    <row r="127" spans="1:4" x14ac:dyDescent="0.25">
      <c r="A127" s="36" t="s">
        <v>474</v>
      </c>
      <c r="B127" s="36" t="s">
        <v>155</v>
      </c>
      <c r="C127" s="36" t="s">
        <v>11</v>
      </c>
      <c r="D127" s="36" t="s">
        <v>10</v>
      </c>
    </row>
    <row r="128" spans="1:4" x14ac:dyDescent="0.25">
      <c r="A128" s="36" t="s">
        <v>136</v>
      </c>
      <c r="B128" s="36" t="s">
        <v>135</v>
      </c>
      <c r="C128" s="36" t="s">
        <v>467</v>
      </c>
      <c r="D128" s="3" t="s">
        <v>12</v>
      </c>
    </row>
    <row r="129" spans="1:4" x14ac:dyDescent="0.25">
      <c r="A129" s="36" t="s">
        <v>198</v>
      </c>
      <c r="B129" s="36" t="s">
        <v>197</v>
      </c>
      <c r="C129" s="36" t="s">
        <v>23</v>
      </c>
      <c r="D129" s="36" t="s">
        <v>22</v>
      </c>
    </row>
    <row r="130" spans="1:4" x14ac:dyDescent="0.25">
      <c r="A130" s="36" t="s">
        <v>232</v>
      </c>
      <c r="B130" s="36" t="s">
        <v>231</v>
      </c>
      <c r="C130" s="36" t="s">
        <v>6</v>
      </c>
      <c r="D130" s="3" t="s">
        <v>5</v>
      </c>
    </row>
    <row r="131" spans="1:4" x14ac:dyDescent="0.25">
      <c r="A131" s="36" t="s">
        <v>201</v>
      </c>
      <c r="B131" s="36" t="s">
        <v>200</v>
      </c>
      <c r="C131" s="36" t="s">
        <v>34</v>
      </c>
      <c r="D131" s="36" t="s">
        <v>33</v>
      </c>
    </row>
    <row r="132" spans="1:4" x14ac:dyDescent="0.25">
      <c r="A132" s="36" t="s">
        <v>475</v>
      </c>
      <c r="B132" s="36" t="s">
        <v>122</v>
      </c>
      <c r="C132" s="36" t="s">
        <v>36</v>
      </c>
      <c r="D132" s="3" t="s">
        <v>35</v>
      </c>
    </row>
    <row r="133" spans="1:4" x14ac:dyDescent="0.25">
      <c r="A133" s="36" t="s">
        <v>476</v>
      </c>
      <c r="B133" s="36" t="s">
        <v>182</v>
      </c>
      <c r="C133" s="36" t="s">
        <v>560</v>
      </c>
      <c r="D133" s="3" t="s">
        <v>8</v>
      </c>
    </row>
    <row r="134" spans="1:4" x14ac:dyDescent="0.25">
      <c r="A134" s="36" t="s">
        <v>477</v>
      </c>
      <c r="B134" s="36" t="s">
        <v>88</v>
      </c>
      <c r="C134" s="36" t="s">
        <v>560</v>
      </c>
      <c r="D134" s="36" t="s">
        <v>7</v>
      </c>
    </row>
    <row r="135" spans="1:4" x14ac:dyDescent="0.25">
      <c r="A135" s="36" t="s">
        <v>478</v>
      </c>
      <c r="B135" s="36" t="s">
        <v>104</v>
      </c>
      <c r="C135" s="36" t="s">
        <v>30</v>
      </c>
      <c r="D135" s="3" t="s">
        <v>29</v>
      </c>
    </row>
    <row r="136" spans="1:4" x14ac:dyDescent="0.25">
      <c r="A136" s="36" t="s">
        <v>124</v>
      </c>
      <c r="B136" s="36" t="s">
        <v>123</v>
      </c>
      <c r="C136" s="36" t="s">
        <v>34</v>
      </c>
      <c r="D136" s="36" t="s">
        <v>33</v>
      </c>
    </row>
    <row r="137" spans="1:4" x14ac:dyDescent="0.25">
      <c r="A137" s="36" t="s">
        <v>97</v>
      </c>
      <c r="B137" s="36" t="s">
        <v>96</v>
      </c>
      <c r="C137" s="36" t="s">
        <v>58</v>
      </c>
      <c r="D137" s="3" t="s">
        <v>24</v>
      </c>
    </row>
    <row r="138" spans="1:4" x14ac:dyDescent="0.25">
      <c r="A138" s="36" t="s">
        <v>479</v>
      </c>
      <c r="B138" s="36" t="s">
        <v>117</v>
      </c>
      <c r="C138" s="36" t="s">
        <v>58</v>
      </c>
      <c r="D138" s="36" t="s">
        <v>24</v>
      </c>
    </row>
    <row r="139" spans="1:4" x14ac:dyDescent="0.25">
      <c r="A139" s="36" t="s">
        <v>66</v>
      </c>
      <c r="B139" s="36" t="s">
        <v>65</v>
      </c>
      <c r="C139" s="36" t="s">
        <v>19</v>
      </c>
      <c r="D139" s="3" t="s">
        <v>18</v>
      </c>
    </row>
    <row r="140" spans="1:4" x14ac:dyDescent="0.25">
      <c r="A140" s="36" t="s">
        <v>480</v>
      </c>
      <c r="B140" s="36" t="s">
        <v>179</v>
      </c>
      <c r="C140" s="36" t="s">
        <v>460</v>
      </c>
      <c r="D140" s="36" t="s">
        <v>37</v>
      </c>
    </row>
    <row r="141" spans="1:4" x14ac:dyDescent="0.25">
      <c r="A141" s="36" t="s">
        <v>55</v>
      </c>
      <c r="B141" s="36" t="s">
        <v>54</v>
      </c>
      <c r="C141" s="36" t="s">
        <v>32</v>
      </c>
      <c r="D141" s="36" t="s">
        <v>31</v>
      </c>
    </row>
    <row r="142" spans="1:4" x14ac:dyDescent="0.25">
      <c r="A142" s="36" t="s">
        <v>481</v>
      </c>
      <c r="B142" s="36" t="s">
        <v>89</v>
      </c>
      <c r="C142" s="36" t="s">
        <v>464</v>
      </c>
      <c r="D142" s="3" t="s">
        <v>25</v>
      </c>
    </row>
    <row r="143" spans="1:4" x14ac:dyDescent="0.25">
      <c r="A143" s="36" t="s">
        <v>482</v>
      </c>
      <c r="B143" s="36" t="s">
        <v>148</v>
      </c>
      <c r="C143" s="36" t="s">
        <v>39</v>
      </c>
      <c r="D143" s="3" t="s">
        <v>38</v>
      </c>
    </row>
    <row r="144" spans="1:4" x14ac:dyDescent="0.25">
      <c r="A144" s="36" t="s">
        <v>174</v>
      </c>
      <c r="B144" s="36" t="s">
        <v>173</v>
      </c>
      <c r="C144" s="36" t="s">
        <v>464</v>
      </c>
      <c r="D144" s="3" t="s">
        <v>25</v>
      </c>
    </row>
    <row r="145" spans="1:4" x14ac:dyDescent="0.25">
      <c r="A145" s="36" t="s">
        <v>237</v>
      </c>
      <c r="B145" s="36" t="s">
        <v>236</v>
      </c>
      <c r="C145" s="36" t="s">
        <v>39</v>
      </c>
      <c r="D145" s="36" t="s">
        <v>38</v>
      </c>
    </row>
    <row r="146" spans="1:4" x14ac:dyDescent="0.25">
      <c r="A146" s="36" t="s">
        <v>121</v>
      </c>
      <c r="B146" s="36" t="s">
        <v>120</v>
      </c>
      <c r="C146" s="36" t="s">
        <v>30</v>
      </c>
      <c r="D146" s="3" t="s">
        <v>29</v>
      </c>
    </row>
    <row r="147" spans="1:4" x14ac:dyDescent="0.25">
      <c r="A147" s="36" t="s">
        <v>143</v>
      </c>
      <c r="B147" s="36" t="s">
        <v>142</v>
      </c>
      <c r="C147" s="36" t="s">
        <v>6</v>
      </c>
      <c r="D147" s="36" t="s">
        <v>5</v>
      </c>
    </row>
    <row r="148" spans="1:4" x14ac:dyDescent="0.25">
      <c r="A148" s="36" t="s">
        <v>249</v>
      </c>
      <c r="B148" s="36" t="s">
        <v>248</v>
      </c>
      <c r="C148" s="36" t="s">
        <v>39</v>
      </c>
      <c r="D148" s="3" t="s">
        <v>38</v>
      </c>
    </row>
    <row r="149" spans="1:4" x14ac:dyDescent="0.25">
      <c r="A149" s="36" t="s">
        <v>116</v>
      </c>
      <c r="B149" s="36" t="s">
        <v>115</v>
      </c>
      <c r="C149" s="36" t="s">
        <v>464</v>
      </c>
      <c r="D149" s="36" t="s">
        <v>25</v>
      </c>
    </row>
    <row r="150" spans="1:4" x14ac:dyDescent="0.25">
      <c r="A150" s="36" t="s">
        <v>207</v>
      </c>
      <c r="B150" s="36" t="s">
        <v>206</v>
      </c>
      <c r="C150" s="36" t="s">
        <v>23</v>
      </c>
      <c r="D150" s="3" t="s">
        <v>22</v>
      </c>
    </row>
    <row r="151" spans="1:4" x14ac:dyDescent="0.25">
      <c r="A151" s="36" t="s">
        <v>47</v>
      </c>
      <c r="B151" s="36" t="s">
        <v>46</v>
      </c>
      <c r="C151" s="36" t="s">
        <v>23</v>
      </c>
      <c r="D151" s="36" t="s">
        <v>22</v>
      </c>
    </row>
    <row r="152" spans="1:4" x14ac:dyDescent="0.25">
      <c r="A152" s="36" t="s">
        <v>483</v>
      </c>
      <c r="B152" s="36" t="s">
        <v>133</v>
      </c>
      <c r="C152" s="36" t="s">
        <v>39</v>
      </c>
      <c r="D152" s="3" t="s">
        <v>38</v>
      </c>
    </row>
    <row r="153" spans="1:4" x14ac:dyDescent="0.25">
      <c r="A153" s="36" t="s">
        <v>132</v>
      </c>
      <c r="B153" s="36" t="s">
        <v>131</v>
      </c>
      <c r="C153" s="36" t="s">
        <v>460</v>
      </c>
      <c r="D153" s="3" t="s">
        <v>37</v>
      </c>
    </row>
    <row r="154" spans="1:4" x14ac:dyDescent="0.25">
      <c r="A154" s="36" t="s">
        <v>226</v>
      </c>
      <c r="B154" s="36" t="s">
        <v>225</v>
      </c>
      <c r="C154" s="36" t="s">
        <v>11</v>
      </c>
      <c r="D154" s="3" t="s">
        <v>10</v>
      </c>
    </row>
    <row r="155" spans="1:4" x14ac:dyDescent="0.25">
      <c r="A155" s="36" t="s">
        <v>205</v>
      </c>
      <c r="B155" s="36" t="s">
        <v>204</v>
      </c>
      <c r="C155" s="36" t="s">
        <v>32</v>
      </c>
      <c r="D155" s="36" t="s">
        <v>31</v>
      </c>
    </row>
    <row r="156" spans="1:4" x14ac:dyDescent="0.25">
      <c r="A156" s="36" t="s">
        <v>159</v>
      </c>
      <c r="B156" s="36" t="s">
        <v>158</v>
      </c>
      <c r="C156" s="36" t="s">
        <v>11</v>
      </c>
      <c r="D156" s="3" t="s">
        <v>10</v>
      </c>
    </row>
    <row r="157" spans="1:4" x14ac:dyDescent="0.25">
      <c r="A157" s="36" t="s">
        <v>60</v>
      </c>
      <c r="B157" s="36" t="s">
        <v>59</v>
      </c>
      <c r="C157" s="36" t="s">
        <v>58</v>
      </c>
      <c r="D157" s="3" t="s">
        <v>24</v>
      </c>
    </row>
    <row r="158" spans="1:4" x14ac:dyDescent="0.25">
      <c r="A158" s="36" t="s">
        <v>218</v>
      </c>
      <c r="B158" s="36" t="s">
        <v>217</v>
      </c>
      <c r="C158" s="36" t="s">
        <v>6</v>
      </c>
      <c r="D158" s="36" t="s">
        <v>5</v>
      </c>
    </row>
    <row r="159" spans="1:4" x14ac:dyDescent="0.25">
      <c r="A159" s="36" t="s">
        <v>193</v>
      </c>
      <c r="B159" s="36" t="s">
        <v>192</v>
      </c>
      <c r="C159" s="36" t="s">
        <v>19</v>
      </c>
      <c r="D159" s="3" t="s">
        <v>18</v>
      </c>
    </row>
    <row r="160" spans="1:4" x14ac:dyDescent="0.25">
      <c r="A160" s="36" t="s">
        <v>119</v>
      </c>
      <c r="B160" s="36" t="s">
        <v>118</v>
      </c>
      <c r="C160" s="36" t="s">
        <v>36</v>
      </c>
      <c r="D160" s="36" t="s">
        <v>35</v>
      </c>
    </row>
    <row r="161" spans="1:4" x14ac:dyDescent="0.25">
      <c r="A161" s="36" t="s">
        <v>191</v>
      </c>
      <c r="B161" s="36" t="s">
        <v>190</v>
      </c>
      <c r="C161" s="36" t="s">
        <v>39</v>
      </c>
      <c r="D161" s="3" t="s">
        <v>38</v>
      </c>
    </row>
    <row r="162" spans="1:4" x14ac:dyDescent="0.25">
      <c r="A162" s="36" t="s">
        <v>57</v>
      </c>
      <c r="B162" s="36" t="s">
        <v>56</v>
      </c>
      <c r="C162" s="36" t="s">
        <v>464</v>
      </c>
      <c r="D162" s="36" t="s">
        <v>25</v>
      </c>
    </row>
    <row r="163" spans="1:4" x14ac:dyDescent="0.25">
      <c r="A163" s="36" t="s">
        <v>146</v>
      </c>
      <c r="B163" s="36" t="s">
        <v>145</v>
      </c>
      <c r="C163" s="36" t="s">
        <v>39</v>
      </c>
      <c r="D163" s="3" t="s">
        <v>38</v>
      </c>
    </row>
    <row r="164" spans="1:4" x14ac:dyDescent="0.25">
      <c r="A164" s="36" t="s">
        <v>49</v>
      </c>
      <c r="B164" s="36" t="s">
        <v>48</v>
      </c>
      <c r="C164" s="36" t="s">
        <v>36</v>
      </c>
      <c r="D164" s="36" t="s">
        <v>35</v>
      </c>
    </row>
    <row r="165" spans="1:4" x14ac:dyDescent="0.25">
      <c r="A165" s="36" t="s">
        <v>484</v>
      </c>
      <c r="B165" s="36" t="s">
        <v>199</v>
      </c>
      <c r="C165" s="36" t="s">
        <v>6</v>
      </c>
      <c r="D165" s="3" t="s">
        <v>5</v>
      </c>
    </row>
    <row r="166" spans="1:4" x14ac:dyDescent="0.25">
      <c r="A166" s="36" t="s">
        <v>485</v>
      </c>
      <c r="B166" s="36" t="s">
        <v>219</v>
      </c>
      <c r="C166" s="36" t="s">
        <v>6</v>
      </c>
      <c r="D166" s="36" t="s">
        <v>5</v>
      </c>
    </row>
    <row r="167" spans="1:4" x14ac:dyDescent="0.25">
      <c r="A167" s="36" t="s">
        <v>486</v>
      </c>
      <c r="B167" s="36" t="s">
        <v>208</v>
      </c>
      <c r="C167" s="36" t="s">
        <v>17</v>
      </c>
      <c r="D167" s="3" t="s">
        <v>16</v>
      </c>
    </row>
    <row r="168" spans="1:4" x14ac:dyDescent="0.25">
      <c r="A168" s="36" t="s">
        <v>487</v>
      </c>
      <c r="B168" s="36" t="s">
        <v>134</v>
      </c>
      <c r="C168" s="36" t="s">
        <v>39</v>
      </c>
      <c r="D168" s="36" t="s">
        <v>38</v>
      </c>
    </row>
    <row r="169" spans="1:4" x14ac:dyDescent="0.25">
      <c r="A169" s="36" t="s">
        <v>488</v>
      </c>
      <c r="B169" s="36" t="s">
        <v>144</v>
      </c>
      <c r="C169" s="36" t="s">
        <v>58</v>
      </c>
      <c r="D169" s="36" t="s">
        <v>24</v>
      </c>
    </row>
    <row r="170" spans="1:4" x14ac:dyDescent="0.25">
      <c r="A170" s="36" t="s">
        <v>303</v>
      </c>
      <c r="B170" s="36" t="s">
        <v>252</v>
      </c>
      <c r="C170" s="36" t="s">
        <v>32</v>
      </c>
      <c r="D170" s="3" t="s">
        <v>31</v>
      </c>
    </row>
    <row r="171" spans="1:4" x14ac:dyDescent="0.25">
      <c r="A171" s="36" t="s">
        <v>75</v>
      </c>
      <c r="B171" s="36" t="s">
        <v>74</v>
      </c>
      <c r="C171" s="36" t="s">
        <v>39</v>
      </c>
      <c r="D171" s="36" t="s">
        <v>38</v>
      </c>
    </row>
    <row r="172" spans="1:4" x14ac:dyDescent="0.25">
      <c r="A172" s="36" t="s">
        <v>489</v>
      </c>
      <c r="B172" s="36" t="s">
        <v>229</v>
      </c>
      <c r="C172" s="36" t="s">
        <v>4</v>
      </c>
      <c r="D172" s="3" t="s">
        <v>3</v>
      </c>
    </row>
    <row r="173" spans="1:4" x14ac:dyDescent="0.25">
      <c r="A173" s="36" t="s">
        <v>490</v>
      </c>
      <c r="B173" s="36" t="s">
        <v>222</v>
      </c>
      <c r="C173" s="36" t="s">
        <v>560</v>
      </c>
      <c r="D173" s="36" t="s">
        <v>8</v>
      </c>
    </row>
    <row r="174" spans="1:4" x14ac:dyDescent="0.25">
      <c r="A174" s="36" t="s">
        <v>112</v>
      </c>
      <c r="B174" s="36" t="s">
        <v>111</v>
      </c>
      <c r="C174" s="36" t="s">
        <v>560</v>
      </c>
      <c r="D174" s="3" t="s">
        <v>7</v>
      </c>
    </row>
    <row r="175" spans="1:4" x14ac:dyDescent="0.25">
      <c r="A175" s="36" t="s">
        <v>491</v>
      </c>
      <c r="B175" s="36" t="s">
        <v>147</v>
      </c>
      <c r="C175" s="36" t="s">
        <v>19</v>
      </c>
      <c r="D175" s="36" t="s">
        <v>18</v>
      </c>
    </row>
    <row r="176" spans="1:4" x14ac:dyDescent="0.25">
      <c r="A176" s="36" t="s">
        <v>77</v>
      </c>
      <c r="B176" s="36" t="s">
        <v>76</v>
      </c>
      <c r="C176" s="36" t="s">
        <v>4</v>
      </c>
      <c r="D176" s="36" t="s">
        <v>3</v>
      </c>
    </row>
    <row r="177" spans="1:4" x14ac:dyDescent="0.25">
      <c r="A177" s="36" t="s">
        <v>228</v>
      </c>
      <c r="B177" s="36" t="s">
        <v>227</v>
      </c>
      <c r="C177" s="36" t="s">
        <v>39</v>
      </c>
      <c r="D177" s="3" t="s">
        <v>38</v>
      </c>
    </row>
    <row r="178" spans="1:4" x14ac:dyDescent="0.25">
      <c r="A178" s="36" t="s">
        <v>189</v>
      </c>
      <c r="B178" s="36" t="s">
        <v>188</v>
      </c>
      <c r="C178" s="36" t="s">
        <v>11</v>
      </c>
      <c r="D178" s="36" t="s">
        <v>10</v>
      </c>
    </row>
    <row r="179" spans="1:4" x14ac:dyDescent="0.25">
      <c r="A179" s="36" t="s">
        <v>150</v>
      </c>
      <c r="B179" s="36" t="s">
        <v>149</v>
      </c>
      <c r="C179" s="36" t="s">
        <v>39</v>
      </c>
      <c r="D179" s="3" t="s">
        <v>38</v>
      </c>
    </row>
    <row r="180" spans="1:4" x14ac:dyDescent="0.25">
      <c r="A180" s="36" t="s">
        <v>492</v>
      </c>
      <c r="B180" s="36" t="s">
        <v>83</v>
      </c>
      <c r="C180" s="36" t="s">
        <v>467</v>
      </c>
      <c r="D180" s="22" t="s">
        <v>12</v>
      </c>
    </row>
  </sheetData>
  <sortState xmlns:xlrd2="http://schemas.microsoft.com/office/spreadsheetml/2017/richdata2" ref="A61:D182">
    <sortCondition ref="A61:A182"/>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O121"/>
  <sheetViews>
    <sheetView workbookViewId="0">
      <pane xSplit="4" ySplit="1" topLeftCell="E2" activePane="bottomRight" state="frozen"/>
      <selection activeCell="E17" sqref="E17"/>
      <selection pane="topRight" activeCell="E17" sqref="E17"/>
      <selection pane="bottomLeft" activeCell="E17" sqref="E17"/>
      <selection pane="bottomRight" activeCell="F9" sqref="F9"/>
    </sheetView>
  </sheetViews>
  <sheetFormatPr defaultRowHeight="15" x14ac:dyDescent="0.25"/>
  <cols>
    <col min="1" max="1" width="61" bestFit="1" customWidth="1"/>
    <col min="2" max="2" width="12.5703125" customWidth="1"/>
    <col min="3" max="3" width="41.42578125" bestFit="1" customWidth="1"/>
    <col min="4" max="4" width="15.28515625" customWidth="1"/>
    <col min="5" max="6" width="7.7109375" style="46" bestFit="1" customWidth="1"/>
    <col min="7" max="7" width="9.85546875" style="4" bestFit="1" customWidth="1"/>
    <col min="8" max="8" width="7.28515625" style="4" customWidth="1"/>
    <col min="9" max="9" width="10.42578125" style="4" bestFit="1" customWidth="1"/>
    <col min="10" max="10" width="9.42578125" style="4" bestFit="1" customWidth="1"/>
    <col min="11" max="11" width="9.7109375" style="4" bestFit="1" customWidth="1"/>
    <col min="12" max="12" width="12.28515625" style="4" bestFit="1" customWidth="1"/>
    <col min="13" max="13" width="12.7109375" customWidth="1"/>
    <col min="14" max="15" width="30.5703125" style="4" customWidth="1"/>
  </cols>
  <sheetData>
    <row r="1" spans="1:15" x14ac:dyDescent="0.25">
      <c r="A1" s="6" t="s">
        <v>43</v>
      </c>
      <c r="B1" s="6" t="s">
        <v>42</v>
      </c>
      <c r="C1" s="6" t="s">
        <v>1</v>
      </c>
      <c r="D1" s="6" t="s">
        <v>0</v>
      </c>
      <c r="E1" s="53" t="s">
        <v>2</v>
      </c>
      <c r="F1" s="48" t="s">
        <v>267</v>
      </c>
      <c r="G1" s="48" t="s">
        <v>268</v>
      </c>
      <c r="H1" s="48" t="s">
        <v>269</v>
      </c>
      <c r="I1" s="48" t="s">
        <v>270</v>
      </c>
      <c r="J1" s="48" t="s">
        <v>271</v>
      </c>
      <c r="K1" s="48" t="s">
        <v>272</v>
      </c>
      <c r="L1" s="4" t="s">
        <v>565</v>
      </c>
      <c r="M1" t="s">
        <v>383</v>
      </c>
      <c r="N1" s="13" t="s">
        <v>286</v>
      </c>
      <c r="O1" s="13" t="s">
        <v>287</v>
      </c>
    </row>
    <row r="2" spans="1:15" x14ac:dyDescent="0.25">
      <c r="A2" s="36" t="s">
        <v>45</v>
      </c>
      <c r="B2" s="36" t="s">
        <v>44</v>
      </c>
      <c r="C2" s="36" t="s">
        <v>11</v>
      </c>
      <c r="D2" s="31" t="s">
        <v>10</v>
      </c>
      <c r="E2" s="2">
        <v>85</v>
      </c>
      <c r="F2" s="4">
        <v>0.31764706969261169</v>
      </c>
      <c r="G2" s="4">
        <v>0.37647059559822083</v>
      </c>
      <c r="H2" s="4">
        <v>0.25882354378700262</v>
      </c>
      <c r="I2" s="4">
        <v>0.90588235855102539</v>
      </c>
      <c r="J2" s="4">
        <v>0.30588236451148992</v>
      </c>
      <c r="K2" s="4">
        <v>0.97647058963775635</v>
      </c>
      <c r="L2" s="4">
        <v>0.16470588743686679</v>
      </c>
      <c r="N2" s="49" cm="1">
        <f t="array" aca="1" ref="N2" ca="1">INDEX(INDIRECT(trust_dq_table),(ROW()-ROW(INDIRECT(trust_dq_cols))),MATCH(selected_dq_name_xc,INDIRECT(trust_dq_cols),0))</f>
        <v>0.30588236451148992</v>
      </c>
      <c r="O2" s="49">
        <f t="shared" ref="O2:O33" ca="1" si="0">RANK(N2,N:N,0)</f>
        <v>119</v>
      </c>
    </row>
    <row r="3" spans="1:15" x14ac:dyDescent="0.25">
      <c r="A3" s="36" t="s">
        <v>47</v>
      </c>
      <c r="B3" s="36" t="s">
        <v>46</v>
      </c>
      <c r="C3" s="36" t="s">
        <v>23</v>
      </c>
      <c r="D3" s="36" t="s">
        <v>22</v>
      </c>
      <c r="E3" s="2">
        <v>115</v>
      </c>
      <c r="F3" s="4">
        <v>0.81739127635955811</v>
      </c>
      <c r="G3" s="4">
        <v>0.96521741151809692</v>
      </c>
      <c r="H3" s="4">
        <v>0.88695651292800903</v>
      </c>
      <c r="I3" s="4">
        <v>0.947826087474823</v>
      </c>
      <c r="J3" s="4">
        <v>0.98260867595672607</v>
      </c>
      <c r="K3" s="4">
        <v>1</v>
      </c>
      <c r="L3" s="4">
        <v>0.80000001192092896</v>
      </c>
      <c r="N3" s="51" cm="1">
        <f t="array" aca="1" ref="N3" ca="1">INDEX(INDIRECT(trust_dq_table),(ROW()-ROW(INDIRECT(trust_dq_cols))),MATCH(selected_dq_name_xc,INDIRECT(trust_dq_cols),0))</f>
        <v>0.98260867595672607</v>
      </c>
      <c r="O3" s="49">
        <f t="shared" ca="1" si="0"/>
        <v>32</v>
      </c>
    </row>
    <row r="4" spans="1:15" x14ac:dyDescent="0.25">
      <c r="A4" s="36" t="s">
        <v>49</v>
      </c>
      <c r="B4" s="36" t="s">
        <v>48</v>
      </c>
      <c r="C4" s="36" t="s">
        <v>36</v>
      </c>
      <c r="D4" s="36" t="s">
        <v>35</v>
      </c>
      <c r="E4" s="2">
        <v>156</v>
      </c>
      <c r="F4" s="4">
        <v>0.8461538553237915</v>
      </c>
      <c r="G4" s="4">
        <v>0.76923078298568726</v>
      </c>
      <c r="H4" s="4">
        <v>0.87179487943649292</v>
      </c>
      <c r="I4" s="4">
        <v>0.92307692766189575</v>
      </c>
      <c r="J4" s="4">
        <v>0.98076921701431274</v>
      </c>
      <c r="K4" s="4">
        <v>0.85897433757781982</v>
      </c>
      <c r="L4" s="4">
        <v>0.49358972907066351</v>
      </c>
      <c r="N4" s="51" cm="1">
        <f t="array" aca="1" ref="N4" ca="1">INDEX(INDIRECT(trust_dq_table),(ROW()-ROW(INDIRECT(trust_dq_cols))),MATCH(selected_dq_name_xc,INDIRECT(trust_dq_cols),0))</f>
        <v>0.98076921701431274</v>
      </c>
      <c r="O4" s="49">
        <f t="shared" ca="1" si="0"/>
        <v>35</v>
      </c>
    </row>
    <row r="5" spans="1:15" x14ac:dyDescent="0.25">
      <c r="A5" s="36" t="s">
        <v>468</v>
      </c>
      <c r="B5" s="36" t="s">
        <v>50</v>
      </c>
      <c r="C5" s="36" t="s">
        <v>36</v>
      </c>
      <c r="D5" s="36" t="s">
        <v>35</v>
      </c>
      <c r="E5" s="2">
        <v>39</v>
      </c>
      <c r="F5" s="4">
        <v>0.92307692766189575</v>
      </c>
      <c r="G5" s="4">
        <v>1</v>
      </c>
      <c r="H5" s="4">
        <v>0.87179487943649292</v>
      </c>
      <c r="I5" s="4">
        <v>0.97435897588729858</v>
      </c>
      <c r="J5" s="4">
        <v>1</v>
      </c>
      <c r="K5" s="4">
        <v>1</v>
      </c>
      <c r="L5" s="4">
        <v>0.82051283121109009</v>
      </c>
      <c r="N5" s="51" cm="1">
        <f t="array" aca="1" ref="N5" ca="1">INDEX(INDIRECT(trust_dq_table),(ROW()-ROW(INDIRECT(trust_dq_cols))),MATCH(selected_dq_name_xc,INDIRECT(trust_dq_cols),0))</f>
        <v>1</v>
      </c>
      <c r="O5" s="49">
        <f t="shared" ca="1" si="0"/>
        <v>1</v>
      </c>
    </row>
    <row r="6" spans="1:15" x14ac:dyDescent="0.25">
      <c r="A6" s="36" t="s">
        <v>52</v>
      </c>
      <c r="B6" s="36" t="s">
        <v>51</v>
      </c>
      <c r="C6" s="36" t="s">
        <v>21</v>
      </c>
      <c r="D6" s="36" t="s">
        <v>20</v>
      </c>
      <c r="E6" s="2">
        <v>120</v>
      </c>
      <c r="F6" s="4">
        <v>0.68333333730697632</v>
      </c>
      <c r="G6" s="4">
        <v>1.666666753590107E-2</v>
      </c>
      <c r="H6" s="4">
        <v>0.40833333134651179</v>
      </c>
      <c r="I6" s="4">
        <v>0.94999998807907104</v>
      </c>
      <c r="J6" s="4">
        <v>0.68333333730697632</v>
      </c>
      <c r="K6" s="4">
        <v>0.98333334922790527</v>
      </c>
      <c r="L6" s="4">
        <v>0.13333334028720861</v>
      </c>
      <c r="N6" s="51" cm="1">
        <f t="array" aca="1" ref="N6" ca="1">INDEX(INDIRECT(trust_dq_table),(ROW()-ROW(INDIRECT(trust_dq_cols))),MATCH(selected_dq_name_xc,INDIRECT(trust_dq_cols),0))</f>
        <v>0.68333333730697632</v>
      </c>
      <c r="O6" s="49">
        <f t="shared" ca="1" si="0"/>
        <v>115</v>
      </c>
    </row>
    <row r="7" spans="1:15" x14ac:dyDescent="0.25">
      <c r="A7" s="36" t="s">
        <v>469</v>
      </c>
      <c r="B7" s="36" t="s">
        <v>53</v>
      </c>
      <c r="C7" s="36" t="s">
        <v>460</v>
      </c>
      <c r="D7" s="36" t="s">
        <v>37</v>
      </c>
      <c r="E7" s="2">
        <v>75</v>
      </c>
      <c r="F7" s="4">
        <v>0.75999999046325684</v>
      </c>
      <c r="G7" s="4">
        <v>0.45333334803581238</v>
      </c>
      <c r="H7" s="4">
        <v>0.49333333969116211</v>
      </c>
      <c r="I7" s="4">
        <v>0.93333333730697632</v>
      </c>
      <c r="J7" s="4">
        <v>0.92000001668930054</v>
      </c>
      <c r="K7" s="4">
        <v>0.87999999523162842</v>
      </c>
      <c r="L7" s="4">
        <v>0.66666668653488159</v>
      </c>
      <c r="N7" s="51" cm="1">
        <f t="array" aca="1" ref="N7" ca="1">INDEX(INDIRECT(trust_dq_table),(ROW()-ROW(INDIRECT(trust_dq_cols))),MATCH(selected_dq_name_xc,INDIRECT(trust_dq_cols),0))</f>
        <v>0.92000001668930054</v>
      </c>
      <c r="O7" s="49">
        <f t="shared" ca="1" si="0"/>
        <v>79</v>
      </c>
    </row>
    <row r="8" spans="1:15" x14ac:dyDescent="0.25">
      <c r="A8" s="36" t="s">
        <v>55</v>
      </c>
      <c r="B8" s="36" t="s">
        <v>54</v>
      </c>
      <c r="C8" s="36" t="s">
        <v>32</v>
      </c>
      <c r="D8" s="36" t="s">
        <v>31</v>
      </c>
      <c r="E8" s="2">
        <v>56</v>
      </c>
      <c r="F8" s="4">
        <v>0.82142859697341919</v>
      </c>
      <c r="G8" s="4">
        <v>0.7321428656578064</v>
      </c>
      <c r="H8" s="4">
        <v>0.67857140302658081</v>
      </c>
      <c r="I8" s="4">
        <v>0.91071426868438721</v>
      </c>
      <c r="J8" s="4">
        <v>0.8928571343421936</v>
      </c>
      <c r="K8" s="4">
        <v>0.9821428656578064</v>
      </c>
      <c r="L8" s="4">
        <v>0.4821428656578064</v>
      </c>
      <c r="N8" s="51" cm="1">
        <f t="array" aca="1" ref="N8" ca="1">INDEX(INDIRECT(trust_dq_table),(ROW()-ROW(INDIRECT(trust_dq_cols))),MATCH(selected_dq_name_xc,INDIRECT(trust_dq_cols),0))</f>
        <v>0.8928571343421936</v>
      </c>
      <c r="O8" s="49">
        <f t="shared" ca="1" si="0"/>
        <v>91</v>
      </c>
    </row>
    <row r="9" spans="1:15" x14ac:dyDescent="0.25">
      <c r="A9" s="36" t="s">
        <v>57</v>
      </c>
      <c r="B9" s="36" t="s">
        <v>56</v>
      </c>
      <c r="C9" s="36" t="s">
        <v>464</v>
      </c>
      <c r="D9" s="36" t="s">
        <v>25</v>
      </c>
      <c r="E9" s="2">
        <v>112</v>
      </c>
      <c r="F9" s="4">
        <v>0.67857140302658081</v>
      </c>
      <c r="G9" s="4">
        <v>0.1607142835855484</v>
      </c>
      <c r="H9" s="4">
        <v>0.77678573131561279</v>
      </c>
      <c r="I9" s="4">
        <v>0.9553571343421936</v>
      </c>
      <c r="J9" s="4">
        <v>0.80357140302658081</v>
      </c>
      <c r="K9" s="4">
        <v>0.94642859697341919</v>
      </c>
      <c r="L9" s="4">
        <v>9.8214283585548401E-2</v>
      </c>
      <c r="N9" s="51" cm="1">
        <f t="array" aca="1" ref="N9" ca="1">INDEX(INDIRECT(trust_dq_table),(ROW()-ROW(INDIRECT(trust_dq_cols))),MATCH(selected_dq_name_xc,INDIRECT(trust_dq_cols),0))</f>
        <v>0.80357140302658081</v>
      </c>
      <c r="O9" s="49">
        <f t="shared" ca="1" si="0"/>
        <v>109</v>
      </c>
    </row>
    <row r="10" spans="1:15" x14ac:dyDescent="0.25">
      <c r="A10" s="36" t="s">
        <v>60</v>
      </c>
      <c r="B10" s="36" t="s">
        <v>59</v>
      </c>
      <c r="C10" s="36" t="s">
        <v>58</v>
      </c>
      <c r="D10" s="3" t="s">
        <v>24</v>
      </c>
      <c r="E10" s="2">
        <v>72</v>
      </c>
      <c r="F10" s="4">
        <v>0.8611111044883728</v>
      </c>
      <c r="G10" s="4">
        <v>0.95833331346511841</v>
      </c>
      <c r="H10" s="4">
        <v>0.83333331346511841</v>
      </c>
      <c r="I10" s="4">
        <v>0.95833331346511841</v>
      </c>
      <c r="J10" s="4">
        <v>0.97222220897674561</v>
      </c>
      <c r="K10" s="4">
        <v>1</v>
      </c>
      <c r="L10" s="4">
        <v>0.72222220897674561</v>
      </c>
      <c r="N10" s="4" cm="1">
        <f t="array" aca="1" ref="N10" ca="1">INDEX(INDIRECT(trust_dq_table),(ROW()-ROW(INDIRECT(trust_dq_cols))),MATCH(selected_dq_name_xc,INDIRECT(trust_dq_cols),0))</f>
        <v>0.97222220897674561</v>
      </c>
      <c r="O10" s="49">
        <f t="shared" ca="1" si="0"/>
        <v>44</v>
      </c>
    </row>
    <row r="11" spans="1:15" x14ac:dyDescent="0.25">
      <c r="A11" s="36" t="s">
        <v>62</v>
      </c>
      <c r="B11" s="36" t="s">
        <v>61</v>
      </c>
      <c r="C11" s="36" t="s">
        <v>41</v>
      </c>
      <c r="D11" s="36" t="s">
        <v>40</v>
      </c>
      <c r="E11" s="2">
        <v>83</v>
      </c>
      <c r="F11" s="4">
        <v>0.5662650465965271</v>
      </c>
      <c r="G11" s="4">
        <v>0.36144578456878662</v>
      </c>
      <c r="H11" s="4">
        <v>0.97590363025665283</v>
      </c>
      <c r="I11" s="4">
        <v>0.8674699068069458</v>
      </c>
      <c r="J11" s="4">
        <v>0.97590363025665283</v>
      </c>
      <c r="K11" s="4">
        <v>0.98795181512832642</v>
      </c>
      <c r="L11" s="4">
        <v>0.8674699068069458</v>
      </c>
      <c r="N11" s="51" cm="1">
        <f t="array" aca="1" ref="N11" ca="1">INDEX(INDIRECT(trust_dq_table),(ROW()-ROW(INDIRECT(trust_dq_cols))),MATCH(selected_dq_name_xc,INDIRECT(trust_dq_cols),0))</f>
        <v>0.97590363025665283</v>
      </c>
      <c r="O11" s="49">
        <f t="shared" ca="1" si="0"/>
        <v>41</v>
      </c>
    </row>
    <row r="12" spans="1:15" x14ac:dyDescent="0.25">
      <c r="A12" s="36" t="s">
        <v>64</v>
      </c>
      <c r="B12" s="36" t="s">
        <v>63</v>
      </c>
      <c r="C12" s="36" t="s">
        <v>560</v>
      </c>
      <c r="D12" s="36" t="s">
        <v>8</v>
      </c>
      <c r="E12" s="2">
        <v>281</v>
      </c>
      <c r="F12" s="4">
        <v>0.74377226829528809</v>
      </c>
      <c r="G12" s="4">
        <v>0.13167259097099299</v>
      </c>
      <c r="H12" s="4">
        <v>0.6548042893409729</v>
      </c>
      <c r="I12" s="4">
        <v>0.92882561683654785</v>
      </c>
      <c r="J12" s="4">
        <v>0.8291814923286438</v>
      </c>
      <c r="K12" s="4">
        <v>0.90391457080841064</v>
      </c>
      <c r="L12" s="4">
        <v>0.38434162735939031</v>
      </c>
      <c r="N12" s="51" cm="1">
        <f t="array" aca="1" ref="N12" ca="1">INDEX(INDIRECT(trust_dq_table),(ROW()-ROW(INDIRECT(trust_dq_cols))),MATCH(selected_dq_name_xc,INDIRECT(trust_dq_cols),0))</f>
        <v>0.8291814923286438</v>
      </c>
      <c r="O12" s="49">
        <f t="shared" ca="1" si="0"/>
        <v>106</v>
      </c>
    </row>
    <row r="13" spans="1:15" x14ac:dyDescent="0.25">
      <c r="A13" s="36" t="s">
        <v>66</v>
      </c>
      <c r="B13" s="36" t="s">
        <v>65</v>
      </c>
      <c r="C13" s="36" t="s">
        <v>19</v>
      </c>
      <c r="D13" s="3" t="s">
        <v>18</v>
      </c>
      <c r="E13" s="2">
        <v>127</v>
      </c>
      <c r="F13" s="4">
        <v>0.76377952098846436</v>
      </c>
      <c r="G13" s="4">
        <v>0.66929131746292114</v>
      </c>
      <c r="H13" s="4">
        <v>0.76377952098846436</v>
      </c>
      <c r="I13" s="4">
        <v>0.94488191604614258</v>
      </c>
      <c r="J13" s="4">
        <v>0.88976377248764038</v>
      </c>
      <c r="K13" s="4">
        <v>0.95275592803955078</v>
      </c>
      <c r="L13" s="4">
        <v>0.66929131746292114</v>
      </c>
      <c r="N13" s="4" cm="1">
        <f t="array" aca="1" ref="N13" ca="1">INDEX(INDIRECT(trust_dq_table),(ROW()-ROW(INDIRECT(trust_dq_cols))),MATCH(selected_dq_name_xc,INDIRECT(trust_dq_cols),0))</f>
        <v>0.88976377248764038</v>
      </c>
      <c r="O13" s="49">
        <f t="shared" ca="1" si="0"/>
        <v>92</v>
      </c>
    </row>
    <row r="14" spans="1:15" x14ac:dyDescent="0.25">
      <c r="A14" s="36" t="s">
        <v>68</v>
      </c>
      <c r="B14" s="36" t="s">
        <v>67</v>
      </c>
      <c r="C14" s="36" t="s">
        <v>19</v>
      </c>
      <c r="D14" s="3" t="s">
        <v>18</v>
      </c>
      <c r="E14" s="2">
        <v>36</v>
      </c>
      <c r="F14" s="4">
        <v>0.66666668653488159</v>
      </c>
      <c r="G14" s="4">
        <v>0.72222220897674561</v>
      </c>
      <c r="H14" s="4">
        <v>0.75</v>
      </c>
      <c r="I14" s="4">
        <v>0.97222220897674561</v>
      </c>
      <c r="J14" s="4">
        <v>0.8611111044883728</v>
      </c>
      <c r="K14" s="4">
        <v>0.91666668653488159</v>
      </c>
      <c r="L14" s="4">
        <v>0.6388888955116272</v>
      </c>
      <c r="N14" s="4" cm="1">
        <f t="array" aca="1" ref="N14" ca="1">INDEX(INDIRECT(trust_dq_table),(ROW()-ROW(INDIRECT(trust_dq_cols))),MATCH(selected_dq_name_xc,INDIRECT(trust_dq_cols),0))</f>
        <v>0.8611111044883728</v>
      </c>
      <c r="O14" s="49">
        <f t="shared" ca="1" si="0"/>
        <v>99</v>
      </c>
    </row>
    <row r="15" spans="1:15" x14ac:dyDescent="0.25">
      <c r="A15" s="36" t="s">
        <v>465</v>
      </c>
      <c r="B15" s="36" t="s">
        <v>69</v>
      </c>
      <c r="C15" s="36" t="s">
        <v>460</v>
      </c>
      <c r="D15" s="3" t="s">
        <v>37</v>
      </c>
      <c r="E15" s="2">
        <v>31</v>
      </c>
      <c r="F15" s="4">
        <v>0.77419352531433105</v>
      </c>
      <c r="G15" s="4">
        <v>0.90322577953338623</v>
      </c>
      <c r="H15" s="4">
        <v>0.70967739820480347</v>
      </c>
      <c r="I15" s="4">
        <v>0.93548387289047241</v>
      </c>
      <c r="J15" s="4">
        <v>0.93548387289047241</v>
      </c>
      <c r="K15" s="4">
        <v>1</v>
      </c>
      <c r="L15" s="4">
        <v>0.70967739820480347</v>
      </c>
      <c r="N15" s="4" cm="1">
        <f t="array" aca="1" ref="N15" ca="1">INDEX(INDIRECT(trust_dq_table),(ROW()-ROW(INDIRECT(trust_dq_cols))),MATCH(selected_dq_name_xc,INDIRECT(trust_dq_cols),0))</f>
        <v>0.93548387289047241</v>
      </c>
      <c r="O15" s="49">
        <f t="shared" ca="1" si="0"/>
        <v>70</v>
      </c>
    </row>
    <row r="16" spans="1:15" x14ac:dyDescent="0.25">
      <c r="A16" s="36" t="s">
        <v>71</v>
      </c>
      <c r="B16" s="36" t="s">
        <v>70</v>
      </c>
      <c r="C16" s="36" t="s">
        <v>460</v>
      </c>
      <c r="D16" s="36" t="s">
        <v>37</v>
      </c>
      <c r="E16" s="2">
        <v>36</v>
      </c>
      <c r="F16" s="4">
        <v>0.66666668653488159</v>
      </c>
      <c r="G16" s="4">
        <v>0.75</v>
      </c>
      <c r="H16" s="4">
        <v>0.83333331346511841</v>
      </c>
      <c r="I16" s="4">
        <v>0.8888888955116272</v>
      </c>
      <c r="J16" s="4">
        <v>0.91666668653488159</v>
      </c>
      <c r="K16" s="4">
        <v>0.8888888955116272</v>
      </c>
      <c r="L16" s="4">
        <v>0.6388888955116272</v>
      </c>
      <c r="N16" s="51" cm="1">
        <f t="array" aca="1" ref="N16" ca="1">INDEX(INDIRECT(trust_dq_table),(ROW()-ROW(INDIRECT(trust_dq_cols))),MATCH(selected_dq_name_xc,INDIRECT(trust_dq_cols),0))</f>
        <v>0.91666668653488159</v>
      </c>
      <c r="O16" s="49">
        <f t="shared" ca="1" si="0"/>
        <v>81</v>
      </c>
    </row>
    <row r="17" spans="1:15" x14ac:dyDescent="0.25">
      <c r="A17" s="36" t="s">
        <v>73</v>
      </c>
      <c r="B17" s="36" t="s">
        <v>72</v>
      </c>
      <c r="C17" s="36" t="s">
        <v>36</v>
      </c>
      <c r="D17" s="3" t="s">
        <v>35</v>
      </c>
      <c r="E17" s="2">
        <v>56</v>
      </c>
      <c r="F17" s="4">
        <v>0.875</v>
      </c>
      <c r="G17" s="4">
        <v>0.8928571343421936</v>
      </c>
      <c r="H17" s="4">
        <v>0.91071426868438721</v>
      </c>
      <c r="I17" s="4">
        <v>0.92857140302658081</v>
      </c>
      <c r="J17" s="4">
        <v>0.96428573131561279</v>
      </c>
      <c r="K17" s="4">
        <v>0.9821428656578064</v>
      </c>
      <c r="L17" s="4">
        <v>0.625</v>
      </c>
      <c r="N17" s="4" cm="1">
        <f t="array" aca="1" ref="N17" ca="1">INDEX(INDIRECT(trust_dq_table),(ROW()-ROW(INDIRECT(trust_dq_cols))),MATCH(selected_dq_name_xc,INDIRECT(trust_dq_cols),0))</f>
        <v>0.96428573131561279</v>
      </c>
      <c r="O17" s="49">
        <f t="shared" ca="1" si="0"/>
        <v>50</v>
      </c>
    </row>
    <row r="18" spans="1:15" x14ac:dyDescent="0.25">
      <c r="A18" s="36" t="s">
        <v>75</v>
      </c>
      <c r="B18" s="36" t="s">
        <v>74</v>
      </c>
      <c r="C18" s="36" t="s">
        <v>39</v>
      </c>
      <c r="D18" s="3" t="s">
        <v>38</v>
      </c>
      <c r="E18" s="2">
        <v>78</v>
      </c>
      <c r="F18" s="4">
        <v>0.71794873476028442</v>
      </c>
      <c r="G18" s="4">
        <v>0.93589740991592407</v>
      </c>
      <c r="H18" s="4">
        <v>0.85897433757781982</v>
      </c>
      <c r="I18" s="4">
        <v>0.94871795177459717</v>
      </c>
      <c r="J18" s="4">
        <v>0.92307692766189575</v>
      </c>
      <c r="K18" s="4">
        <v>0.91025638580322266</v>
      </c>
      <c r="L18" s="4">
        <v>0.71794873476028442</v>
      </c>
      <c r="N18" s="51" cm="1">
        <f t="array" aca="1" ref="N18" ca="1">INDEX(INDIRECT(trust_dq_table),(ROW()-ROW(INDIRECT(trust_dq_cols))),MATCH(selected_dq_name_xc,INDIRECT(trust_dq_cols),0))</f>
        <v>0.92307692766189575</v>
      </c>
      <c r="O18" s="49">
        <f t="shared" ca="1" si="0"/>
        <v>78</v>
      </c>
    </row>
    <row r="19" spans="1:15" x14ac:dyDescent="0.25">
      <c r="A19" s="36" t="s">
        <v>77</v>
      </c>
      <c r="B19" s="36" t="s">
        <v>76</v>
      </c>
      <c r="C19" s="36" t="s">
        <v>4</v>
      </c>
      <c r="D19" s="36" t="s">
        <v>3</v>
      </c>
      <c r="E19" s="2">
        <v>109</v>
      </c>
      <c r="F19" s="4">
        <v>0.92660552263259888</v>
      </c>
      <c r="G19" s="4">
        <v>0.98165136575698853</v>
      </c>
      <c r="H19" s="4">
        <v>0.93577980995178223</v>
      </c>
      <c r="I19" s="4">
        <v>0.9082568883895874</v>
      </c>
      <c r="J19" s="4">
        <v>1</v>
      </c>
      <c r="K19" s="4">
        <v>0.99082571268081665</v>
      </c>
      <c r="L19" s="4">
        <v>0.73394495248794556</v>
      </c>
      <c r="N19" s="51" cm="1">
        <f t="array" aca="1" ref="N19" ca="1">INDEX(INDIRECT(trust_dq_table),(ROW()-ROW(INDIRECT(trust_dq_cols))),MATCH(selected_dq_name_xc,INDIRECT(trust_dq_cols),0))</f>
        <v>1</v>
      </c>
      <c r="O19" s="49">
        <f t="shared" ca="1" si="0"/>
        <v>1</v>
      </c>
    </row>
    <row r="20" spans="1:15" x14ac:dyDescent="0.25">
      <c r="A20" s="36" t="s">
        <v>470</v>
      </c>
      <c r="B20" s="36" t="s">
        <v>78</v>
      </c>
      <c r="C20" s="36" t="s">
        <v>4</v>
      </c>
      <c r="D20" s="36" t="s">
        <v>3</v>
      </c>
      <c r="E20" s="2">
        <v>164</v>
      </c>
      <c r="F20" s="4">
        <v>0.88414633274078369</v>
      </c>
      <c r="G20" s="4">
        <v>0.91463416814804077</v>
      </c>
      <c r="H20" s="4">
        <v>0.87804877758026123</v>
      </c>
      <c r="I20" s="4">
        <v>0.957317054271698</v>
      </c>
      <c r="J20" s="4">
        <v>0.88414633274078369</v>
      </c>
      <c r="K20" s="4">
        <v>0.98780488967895508</v>
      </c>
      <c r="L20" s="4">
        <v>0.59146338701248169</v>
      </c>
      <c r="N20" s="51" cm="1">
        <f t="array" aca="1" ref="N20" ca="1">INDEX(INDIRECT(trust_dq_table),(ROW()-ROW(INDIRECT(trust_dq_cols))),MATCH(selected_dq_name_xc,INDIRECT(trust_dq_cols),0))</f>
        <v>0.88414633274078369</v>
      </c>
      <c r="O20" s="49">
        <f t="shared" ca="1" si="0"/>
        <v>93</v>
      </c>
    </row>
    <row r="21" spans="1:15" x14ac:dyDescent="0.25">
      <c r="A21" s="36" t="s">
        <v>80</v>
      </c>
      <c r="B21" s="36" t="s">
        <v>79</v>
      </c>
      <c r="C21" s="36" t="s">
        <v>4</v>
      </c>
      <c r="D21" s="3" t="s">
        <v>3</v>
      </c>
      <c r="E21" s="2">
        <v>70</v>
      </c>
      <c r="F21" s="4">
        <v>0.88571429252624512</v>
      </c>
      <c r="G21" s="4">
        <v>0.91428571939468384</v>
      </c>
      <c r="H21" s="4">
        <v>0.84285712242126465</v>
      </c>
      <c r="I21" s="4">
        <v>0.92857140302658081</v>
      </c>
      <c r="J21" s="4">
        <v>0.95714282989501953</v>
      </c>
      <c r="K21" s="4">
        <v>0.92857140302658081</v>
      </c>
      <c r="L21" s="4">
        <v>0.84285712242126465</v>
      </c>
      <c r="N21" s="4" cm="1">
        <f t="array" aca="1" ref="N21" ca="1">INDEX(INDIRECT(trust_dq_table),(ROW()-ROW(INDIRECT(trust_dq_cols))),MATCH(selected_dq_name_xc,INDIRECT(trust_dq_cols),0))</f>
        <v>0.95714282989501953</v>
      </c>
      <c r="O21" s="49">
        <f t="shared" ca="1" si="0"/>
        <v>60</v>
      </c>
    </row>
    <row r="22" spans="1:15" x14ac:dyDescent="0.25">
      <c r="A22" s="36" t="s">
        <v>82</v>
      </c>
      <c r="B22" s="36" t="s">
        <v>81</v>
      </c>
      <c r="C22" s="36" t="s">
        <v>560</v>
      </c>
      <c r="D22" s="3" t="s">
        <v>8</v>
      </c>
      <c r="E22" s="2">
        <v>100</v>
      </c>
      <c r="F22" s="4">
        <v>0.70999997854232788</v>
      </c>
      <c r="G22" s="4">
        <v>0.77999997138977051</v>
      </c>
      <c r="H22" s="4">
        <v>0.79000002145767212</v>
      </c>
      <c r="I22" s="4">
        <v>0.93999999761581421</v>
      </c>
      <c r="J22" s="4">
        <v>0.87999999523162842</v>
      </c>
      <c r="K22" s="4">
        <v>0.97000002861022949</v>
      </c>
      <c r="L22" s="4">
        <v>0.61000001430511475</v>
      </c>
      <c r="N22" s="4" cm="1">
        <f t="array" aca="1" ref="N22" ca="1">INDEX(INDIRECT(trust_dq_table),(ROW()-ROW(INDIRECT(trust_dq_cols))),MATCH(selected_dq_name_xc,INDIRECT(trust_dq_cols),0))</f>
        <v>0.87999999523162842</v>
      </c>
      <c r="O22" s="49">
        <f t="shared" ca="1" si="0"/>
        <v>95</v>
      </c>
    </row>
    <row r="23" spans="1:15" x14ac:dyDescent="0.25">
      <c r="A23" s="36" t="s">
        <v>492</v>
      </c>
      <c r="B23" s="36" t="s">
        <v>83</v>
      </c>
      <c r="C23" s="36" t="s">
        <v>467</v>
      </c>
      <c r="D23" s="3" t="s">
        <v>12</v>
      </c>
      <c r="E23" s="2">
        <v>168</v>
      </c>
      <c r="F23" s="4">
        <v>0.8154761791229248</v>
      </c>
      <c r="G23" s="4">
        <v>0.875</v>
      </c>
      <c r="H23" s="4">
        <v>0.7678571343421936</v>
      </c>
      <c r="I23" s="4">
        <v>0.9047619104385376</v>
      </c>
      <c r="J23" s="4">
        <v>0.97619044780731201</v>
      </c>
      <c r="K23" s="4">
        <v>0.7797619104385376</v>
      </c>
      <c r="L23" s="4">
        <v>0.66071426868438721</v>
      </c>
      <c r="N23" s="4" cm="1">
        <f t="array" aca="1" ref="N23" ca="1">INDEX(INDIRECT(trust_dq_table),(ROW()-ROW(INDIRECT(trust_dq_cols))),MATCH(selected_dq_name_xc,INDIRECT(trust_dq_cols),0))</f>
        <v>0.97619044780731201</v>
      </c>
      <c r="O23" s="49">
        <f t="shared" ca="1" si="0"/>
        <v>40</v>
      </c>
    </row>
    <row r="24" spans="1:15" x14ac:dyDescent="0.25">
      <c r="A24" s="36" t="s">
        <v>85</v>
      </c>
      <c r="B24" s="36" t="s">
        <v>84</v>
      </c>
      <c r="C24" s="36" t="s">
        <v>41</v>
      </c>
      <c r="D24" s="36" t="s">
        <v>12</v>
      </c>
      <c r="E24" s="2">
        <v>51</v>
      </c>
      <c r="F24" s="4">
        <v>0.72549021244049072</v>
      </c>
      <c r="G24" s="4">
        <v>0.39215686917304993</v>
      </c>
      <c r="H24" s="4">
        <v>0.86274510622024536</v>
      </c>
      <c r="I24" s="4">
        <v>0.92156863212585449</v>
      </c>
      <c r="J24" s="4">
        <v>0.96078431606292725</v>
      </c>
      <c r="K24" s="4">
        <v>0.96078431606292725</v>
      </c>
      <c r="L24" s="4">
        <v>0.66666668653488159</v>
      </c>
      <c r="N24" s="51" cm="1">
        <f t="array" aca="1" ref="N24" ca="1">INDEX(INDIRECT(trust_dq_table),(ROW()-ROW(INDIRECT(trust_dq_cols))),MATCH(selected_dq_name_xc,INDIRECT(trust_dq_cols),0))</f>
        <v>0.96078431606292725</v>
      </c>
      <c r="O24" s="49">
        <f t="shared" ca="1" si="0"/>
        <v>54</v>
      </c>
    </row>
    <row r="25" spans="1:15" x14ac:dyDescent="0.25">
      <c r="A25" s="36" t="s">
        <v>87</v>
      </c>
      <c r="B25" s="36" t="s">
        <v>86</v>
      </c>
      <c r="C25" s="36" t="s">
        <v>41</v>
      </c>
      <c r="D25" s="36" t="s">
        <v>40</v>
      </c>
      <c r="E25" s="2">
        <v>46</v>
      </c>
      <c r="F25" s="4">
        <v>0.91304349899291992</v>
      </c>
      <c r="G25" s="4">
        <v>0.97826087474822998</v>
      </c>
      <c r="H25" s="4">
        <v>0.97826087474822998</v>
      </c>
      <c r="I25" s="4">
        <v>0.97826087474822998</v>
      </c>
      <c r="J25" s="4">
        <v>1</v>
      </c>
      <c r="K25" s="4">
        <v>0.97826087474822998</v>
      </c>
      <c r="L25" s="4">
        <v>0.82608693838119507</v>
      </c>
      <c r="N25" s="51" cm="1">
        <f t="array" aca="1" ref="N25" ca="1">INDEX(INDIRECT(trust_dq_table),(ROW()-ROW(INDIRECT(trust_dq_cols))),MATCH(selected_dq_name_xc,INDIRECT(trust_dq_cols),0))</f>
        <v>1</v>
      </c>
      <c r="O25" s="49">
        <f t="shared" ca="1" si="0"/>
        <v>1</v>
      </c>
    </row>
    <row r="26" spans="1:15" x14ac:dyDescent="0.25">
      <c r="A26" s="36" t="s">
        <v>477</v>
      </c>
      <c r="B26" s="36" t="s">
        <v>88</v>
      </c>
      <c r="C26" s="36" t="s">
        <v>560</v>
      </c>
      <c r="D26" s="36" t="s">
        <v>7</v>
      </c>
      <c r="E26" s="2">
        <v>67</v>
      </c>
      <c r="F26" s="4">
        <v>0.89552241563796997</v>
      </c>
      <c r="G26" s="4">
        <v>0.9253731369972229</v>
      </c>
      <c r="H26" s="4">
        <v>0.8208954930305481</v>
      </c>
      <c r="I26" s="4">
        <v>0.95522385835647583</v>
      </c>
      <c r="J26" s="4">
        <v>0.95522385835647583</v>
      </c>
      <c r="K26" s="4">
        <v>1</v>
      </c>
      <c r="L26" s="4">
        <v>0.61194032430648804</v>
      </c>
      <c r="N26" s="51" cm="1">
        <f t="array" aca="1" ref="N26" ca="1">INDEX(INDIRECT(trust_dq_table),(ROW()-ROW(INDIRECT(trust_dq_cols))),MATCH(selected_dq_name_xc,INDIRECT(trust_dq_cols),0))</f>
        <v>0.95522385835647583</v>
      </c>
      <c r="O26" s="49">
        <f t="shared" ca="1" si="0"/>
        <v>62</v>
      </c>
    </row>
    <row r="27" spans="1:15" x14ac:dyDescent="0.25">
      <c r="A27" s="36" t="s">
        <v>481</v>
      </c>
      <c r="B27" s="36" t="s">
        <v>89</v>
      </c>
      <c r="C27" s="36" t="s">
        <v>464</v>
      </c>
      <c r="D27" s="3" t="s">
        <v>25</v>
      </c>
      <c r="E27" s="2">
        <v>100</v>
      </c>
      <c r="F27" s="4">
        <v>0.75999999046325684</v>
      </c>
      <c r="G27" s="4">
        <v>0.62000000476837158</v>
      </c>
      <c r="H27" s="4">
        <v>0.92000001668930054</v>
      </c>
      <c r="I27" s="4">
        <v>0.87999999523162842</v>
      </c>
      <c r="J27" s="4">
        <v>0.94999998807907104</v>
      </c>
      <c r="K27" s="4">
        <v>0.86000001430511475</v>
      </c>
      <c r="L27" s="4">
        <v>0.76999998092651367</v>
      </c>
      <c r="N27" s="4" cm="1">
        <f t="array" aca="1" ref="N27" ca="1">INDEX(INDIRECT(trust_dq_table),(ROW()-ROW(INDIRECT(trust_dq_cols))),MATCH(selected_dq_name_xc,INDIRECT(trust_dq_cols),0))</f>
        <v>0.94999998807907104</v>
      </c>
      <c r="O27" s="49">
        <f t="shared" ca="1" si="0"/>
        <v>66</v>
      </c>
    </row>
    <row r="28" spans="1:15" x14ac:dyDescent="0.25">
      <c r="A28" s="36" t="s">
        <v>91</v>
      </c>
      <c r="B28" s="36" t="s">
        <v>90</v>
      </c>
      <c r="C28" s="36" t="s">
        <v>560</v>
      </c>
      <c r="D28" s="3" t="s">
        <v>8</v>
      </c>
      <c r="E28" s="2">
        <v>61</v>
      </c>
      <c r="F28" s="4">
        <v>0.96721309423446655</v>
      </c>
      <c r="G28" s="4">
        <v>0.98360657691955566</v>
      </c>
      <c r="H28" s="4">
        <v>0.98360657691955566</v>
      </c>
      <c r="I28" s="4">
        <v>0.98360657691955566</v>
      </c>
      <c r="J28" s="4">
        <v>0.98360657691955566</v>
      </c>
      <c r="K28" s="4">
        <v>0.86885243654251099</v>
      </c>
      <c r="L28" s="4">
        <v>0.75409835577011108</v>
      </c>
      <c r="N28" s="4" cm="1">
        <f t="array" aca="1" ref="N28" ca="1">INDEX(INDIRECT(trust_dq_table),(ROW()-ROW(INDIRECT(trust_dq_cols))),MATCH(selected_dq_name_xc,INDIRECT(trust_dq_cols),0))</f>
        <v>0.98360657691955566</v>
      </c>
      <c r="O28" s="49">
        <f t="shared" ca="1" si="0"/>
        <v>31</v>
      </c>
    </row>
    <row r="29" spans="1:15" x14ac:dyDescent="0.25">
      <c r="A29" s="36" t="s">
        <v>93</v>
      </c>
      <c r="B29" s="36" t="s">
        <v>92</v>
      </c>
      <c r="C29" s="36" t="s">
        <v>560</v>
      </c>
      <c r="D29" s="36" t="s">
        <v>7</v>
      </c>
      <c r="E29" s="2">
        <v>158</v>
      </c>
      <c r="F29" s="4">
        <v>0.72151899337768555</v>
      </c>
      <c r="G29" s="4">
        <v>0.73417723178863525</v>
      </c>
      <c r="H29" s="4">
        <v>0.88607597351074219</v>
      </c>
      <c r="I29" s="4">
        <v>0.94936710596084595</v>
      </c>
      <c r="J29" s="4">
        <v>0.97468352317810059</v>
      </c>
      <c r="K29" s="4">
        <v>0.9556962251663208</v>
      </c>
      <c r="L29" s="4">
        <v>0.48734176158905029</v>
      </c>
      <c r="N29" s="51" cm="1">
        <f t="array" aca="1" ref="N29" ca="1">INDEX(INDIRECT(trust_dq_table),(ROW()-ROW(INDIRECT(trust_dq_cols))),MATCH(selected_dq_name_xc,INDIRECT(trust_dq_cols),0))</f>
        <v>0.97468352317810059</v>
      </c>
      <c r="O29" s="49">
        <f t="shared" ca="1" si="0"/>
        <v>42</v>
      </c>
    </row>
    <row r="30" spans="1:15" x14ac:dyDescent="0.25">
      <c r="A30" s="36" t="s">
        <v>95</v>
      </c>
      <c r="B30" s="36" t="s">
        <v>94</v>
      </c>
      <c r="C30" s="36" t="s">
        <v>32</v>
      </c>
      <c r="D30" s="3" t="s">
        <v>31</v>
      </c>
      <c r="E30" s="2">
        <v>136</v>
      </c>
      <c r="F30" s="4">
        <v>0.88235294818878174</v>
      </c>
      <c r="G30" s="4">
        <v>0.93382352590560913</v>
      </c>
      <c r="H30" s="4">
        <v>0.94852942228317261</v>
      </c>
      <c r="I30" s="4">
        <v>0.94852942228317261</v>
      </c>
      <c r="J30" s="4">
        <v>0.98529410362243652</v>
      </c>
      <c r="K30" s="4">
        <v>0.98529410362243652</v>
      </c>
      <c r="L30" s="4">
        <v>0.75735294818878174</v>
      </c>
      <c r="N30" s="4" cm="1">
        <f t="array" aca="1" ref="N30" ca="1">INDEX(INDIRECT(trust_dq_table),(ROW()-ROW(INDIRECT(trust_dq_cols))),MATCH(selected_dq_name_xc,INDIRECT(trust_dq_cols),0))</f>
        <v>0.98529410362243652</v>
      </c>
      <c r="O30" s="49">
        <f t="shared" ca="1" si="0"/>
        <v>29</v>
      </c>
    </row>
    <row r="31" spans="1:15" x14ac:dyDescent="0.25">
      <c r="A31" s="36" t="s">
        <v>97</v>
      </c>
      <c r="B31" s="36" t="s">
        <v>96</v>
      </c>
      <c r="C31" s="36" t="s">
        <v>58</v>
      </c>
      <c r="D31" s="3" t="s">
        <v>24</v>
      </c>
      <c r="E31" s="2">
        <v>115</v>
      </c>
      <c r="F31" s="4">
        <v>0.73043477535247803</v>
      </c>
      <c r="G31" s="4">
        <v>0.97391301393508911</v>
      </c>
      <c r="H31" s="4">
        <v>0.82608693838119507</v>
      </c>
      <c r="I31" s="4">
        <v>0.91304349899291992</v>
      </c>
      <c r="J31" s="4">
        <v>1</v>
      </c>
      <c r="K31" s="4">
        <v>1</v>
      </c>
      <c r="L31" s="4">
        <v>0.52173912525177002</v>
      </c>
      <c r="N31" s="4" cm="1">
        <f t="array" aca="1" ref="N31" ca="1">INDEX(INDIRECT(trust_dq_table),(ROW()-ROW(INDIRECT(trust_dq_cols))),MATCH(selected_dq_name_xc,INDIRECT(trust_dq_cols),0))</f>
        <v>1</v>
      </c>
      <c r="O31" s="49">
        <f t="shared" ca="1" si="0"/>
        <v>1</v>
      </c>
    </row>
    <row r="32" spans="1:15" x14ac:dyDescent="0.25">
      <c r="A32" s="36" t="s">
        <v>99</v>
      </c>
      <c r="B32" s="36" t="s">
        <v>98</v>
      </c>
      <c r="C32" s="36" t="s">
        <v>4</v>
      </c>
      <c r="D32" s="3" t="s">
        <v>3</v>
      </c>
      <c r="E32" s="2">
        <v>163</v>
      </c>
      <c r="F32" s="4">
        <v>0.87730062007904053</v>
      </c>
      <c r="G32" s="4">
        <v>0.7791411280632019</v>
      </c>
      <c r="H32" s="4">
        <v>0.85276073217391968</v>
      </c>
      <c r="I32" s="4">
        <v>0.93251532316207886</v>
      </c>
      <c r="J32" s="4">
        <v>0.84662574529647827</v>
      </c>
      <c r="K32" s="4">
        <v>0.96932512521743774</v>
      </c>
      <c r="L32" s="4">
        <v>0.51533740758895874</v>
      </c>
      <c r="N32" s="4" cm="1">
        <f t="array" aca="1" ref="N32" ca="1">INDEX(INDIRECT(trust_dq_table),(ROW()-ROW(INDIRECT(trust_dq_cols))),MATCH(selected_dq_name_xc,INDIRECT(trust_dq_cols),0))</f>
        <v>0.84662574529647827</v>
      </c>
      <c r="O32" s="49">
        <f t="shared" ca="1" si="0"/>
        <v>104</v>
      </c>
    </row>
    <row r="33" spans="1:15" x14ac:dyDescent="0.25">
      <c r="A33" s="36" t="s">
        <v>101</v>
      </c>
      <c r="B33" s="36" t="s">
        <v>100</v>
      </c>
      <c r="C33" s="36" t="s">
        <v>21</v>
      </c>
      <c r="D33" s="36" t="s">
        <v>20</v>
      </c>
      <c r="E33" s="2">
        <v>103</v>
      </c>
      <c r="F33" s="4">
        <v>0.68932038545608521</v>
      </c>
      <c r="G33" s="4">
        <v>0.65048545598983765</v>
      </c>
      <c r="H33" s="4">
        <v>0.7766990065574646</v>
      </c>
      <c r="I33" s="4">
        <v>0.90291261672973633</v>
      </c>
      <c r="J33" s="4">
        <v>0.93203884363174438</v>
      </c>
      <c r="K33" s="4">
        <v>0.98058253526687622</v>
      </c>
      <c r="L33" s="4">
        <v>8.7378643453121185E-2</v>
      </c>
      <c r="N33" s="51" cm="1">
        <f t="array" aca="1" ref="N33" ca="1">INDEX(INDIRECT(trust_dq_table),(ROW()-ROW(INDIRECT(trust_dq_cols))),MATCH(selected_dq_name_xc,INDIRECT(trust_dq_cols),0))</f>
        <v>0.93203884363174438</v>
      </c>
      <c r="O33" s="49">
        <f t="shared" ca="1" si="0"/>
        <v>74</v>
      </c>
    </row>
    <row r="34" spans="1:15" x14ac:dyDescent="0.25">
      <c r="A34" s="36" t="s">
        <v>103</v>
      </c>
      <c r="B34" s="36" t="s">
        <v>102</v>
      </c>
      <c r="C34" s="36" t="s">
        <v>30</v>
      </c>
      <c r="D34" s="3" t="s">
        <v>29</v>
      </c>
      <c r="E34" s="2">
        <v>57</v>
      </c>
      <c r="F34" s="4">
        <v>0.87719297409057617</v>
      </c>
      <c r="G34" s="4">
        <v>0.9649122953414917</v>
      </c>
      <c r="H34" s="4">
        <v>0.89473682641983032</v>
      </c>
      <c r="I34" s="4">
        <v>0.91228067874908447</v>
      </c>
      <c r="J34" s="4">
        <v>0.9649122953414917</v>
      </c>
      <c r="K34" s="4">
        <v>0.9298245906829834</v>
      </c>
      <c r="L34" s="4">
        <v>0.70175439119338989</v>
      </c>
      <c r="N34" s="4" cm="1">
        <f t="array" aca="1" ref="N34" ca="1">INDEX(INDIRECT(trust_dq_table),(ROW()-ROW(INDIRECT(trust_dq_cols))),MATCH(selected_dq_name_xc,INDIRECT(trust_dq_cols),0))</f>
        <v>0.9649122953414917</v>
      </c>
      <c r="O34" s="49">
        <f t="shared" ref="O34:O65" ca="1" si="1">RANK(N34,N:N,0)</f>
        <v>49</v>
      </c>
    </row>
    <row r="35" spans="1:15" x14ac:dyDescent="0.25">
      <c r="A35" s="36" t="s">
        <v>478</v>
      </c>
      <c r="B35" s="36" t="s">
        <v>104</v>
      </c>
      <c r="C35" s="36" t="s">
        <v>30</v>
      </c>
      <c r="D35" s="3" t="s">
        <v>29</v>
      </c>
      <c r="E35" s="2">
        <v>55</v>
      </c>
      <c r="F35" s="4">
        <v>0.74545454978942871</v>
      </c>
      <c r="G35" s="4">
        <v>0.80000001192092896</v>
      </c>
      <c r="H35" s="4">
        <v>0.90909093618392944</v>
      </c>
      <c r="I35" s="4">
        <v>0.89090907573699951</v>
      </c>
      <c r="J35" s="4">
        <v>0.9272727370262146</v>
      </c>
      <c r="K35" s="4">
        <v>0.94545453786849976</v>
      </c>
      <c r="L35" s="4">
        <v>0.63636362552642822</v>
      </c>
      <c r="N35" s="4" cm="1">
        <f t="array" aca="1" ref="N35" ca="1">INDEX(INDIRECT(trust_dq_table),(ROW()-ROW(INDIRECT(trust_dq_cols))),MATCH(selected_dq_name_xc,INDIRECT(trust_dq_cols),0))</f>
        <v>0.9272727370262146</v>
      </c>
      <c r="O35" s="49">
        <f t="shared" ca="1" si="1"/>
        <v>76</v>
      </c>
    </row>
    <row r="36" spans="1:15" x14ac:dyDescent="0.25">
      <c r="A36" s="36" t="s">
        <v>106</v>
      </c>
      <c r="B36" s="36" t="s">
        <v>105</v>
      </c>
      <c r="C36" s="36" t="s">
        <v>30</v>
      </c>
      <c r="D36" s="3" t="s">
        <v>5</v>
      </c>
      <c r="E36" s="2">
        <v>79</v>
      </c>
      <c r="F36" s="4">
        <v>0.89873415231704712</v>
      </c>
      <c r="G36" s="4">
        <v>0.98734176158905029</v>
      </c>
      <c r="H36" s="4">
        <v>0.92405062913894653</v>
      </c>
      <c r="I36" s="4">
        <v>0.91139239072799683</v>
      </c>
      <c r="J36" s="4">
        <v>1</v>
      </c>
      <c r="K36" s="4">
        <v>0.94936710596084595</v>
      </c>
      <c r="L36" s="4">
        <v>0.79746836423873901</v>
      </c>
      <c r="N36" s="4" cm="1">
        <f t="array" aca="1" ref="N36" ca="1">INDEX(INDIRECT(trust_dq_table),(ROW()-ROW(INDIRECT(trust_dq_cols))),MATCH(selected_dq_name_xc,INDIRECT(trust_dq_cols),0))</f>
        <v>1</v>
      </c>
      <c r="O36" s="49">
        <f t="shared" ca="1" si="1"/>
        <v>1</v>
      </c>
    </row>
    <row r="37" spans="1:15" x14ac:dyDescent="0.25">
      <c r="A37" s="36" t="s">
        <v>108</v>
      </c>
      <c r="B37" s="36" t="s">
        <v>107</v>
      </c>
      <c r="C37" s="36" t="s">
        <v>560</v>
      </c>
      <c r="D37" s="3" t="s">
        <v>7</v>
      </c>
      <c r="E37" s="2">
        <v>108</v>
      </c>
      <c r="F37" s="4">
        <v>0.70370370149612427</v>
      </c>
      <c r="G37" s="4">
        <v>0.72222220897674561</v>
      </c>
      <c r="H37" s="4">
        <v>0.84259259700775146</v>
      </c>
      <c r="I37" s="4">
        <v>0.8888888955116272</v>
      </c>
      <c r="J37" s="4">
        <v>0.90740740299224854</v>
      </c>
      <c r="K37" s="4">
        <v>0.95370370149612427</v>
      </c>
      <c r="L37" s="4">
        <v>0.50925928354263306</v>
      </c>
      <c r="N37" s="4" cm="1">
        <f t="array" aca="1" ref="N37" ca="1">INDEX(INDIRECT(trust_dq_table),(ROW()-ROW(INDIRECT(trust_dq_cols))),MATCH(selected_dq_name_xc,INDIRECT(trust_dq_cols),0))</f>
        <v>0.90740740299224854</v>
      </c>
      <c r="O37" s="49">
        <f t="shared" ca="1" si="1"/>
        <v>85</v>
      </c>
    </row>
    <row r="38" spans="1:15" x14ac:dyDescent="0.25">
      <c r="A38" s="36" t="s">
        <v>110</v>
      </c>
      <c r="B38" s="36" t="s">
        <v>109</v>
      </c>
      <c r="C38" s="36" t="s">
        <v>560</v>
      </c>
      <c r="D38" s="3" t="s">
        <v>7</v>
      </c>
      <c r="E38" s="2">
        <v>69</v>
      </c>
      <c r="F38" s="4">
        <v>0.79710143804550171</v>
      </c>
      <c r="G38" s="4">
        <v>0.88405799865722656</v>
      </c>
      <c r="H38" s="4">
        <v>0.9275362491607666</v>
      </c>
      <c r="I38" s="4">
        <v>0.9275362491607666</v>
      </c>
      <c r="J38" s="4">
        <v>0.95652174949645996</v>
      </c>
      <c r="K38" s="4">
        <v>0.97101449966430664</v>
      </c>
      <c r="L38" s="4">
        <v>0.66666668653488159</v>
      </c>
      <c r="N38" s="4" cm="1">
        <f t="array" aca="1" ref="N38" ca="1">INDEX(INDIRECT(trust_dq_table),(ROW()-ROW(INDIRECT(trust_dq_cols))),MATCH(selected_dq_name_xc,INDIRECT(trust_dq_cols),0))</f>
        <v>0.95652174949645996</v>
      </c>
      <c r="O38" s="49">
        <f t="shared" ca="1" si="1"/>
        <v>61</v>
      </c>
    </row>
    <row r="39" spans="1:15" x14ac:dyDescent="0.25">
      <c r="A39" s="36" t="s">
        <v>112</v>
      </c>
      <c r="B39" s="36" t="s">
        <v>111</v>
      </c>
      <c r="C39" s="36" t="s">
        <v>560</v>
      </c>
      <c r="D39" s="36" t="s">
        <v>7</v>
      </c>
      <c r="E39" s="2">
        <v>76</v>
      </c>
      <c r="F39" s="4">
        <v>0.96052628755569458</v>
      </c>
      <c r="G39" s="4">
        <v>1</v>
      </c>
      <c r="H39" s="4">
        <v>1</v>
      </c>
      <c r="I39" s="4">
        <v>0.96052628755569458</v>
      </c>
      <c r="J39" s="4">
        <v>1</v>
      </c>
      <c r="K39" s="4">
        <v>0.94736844301223755</v>
      </c>
      <c r="L39" s="4">
        <v>0.80263155698776245</v>
      </c>
      <c r="N39" s="4" cm="1">
        <f t="array" aca="1" ref="N39" ca="1">INDEX(INDIRECT(trust_dq_table),(ROW()-ROW(INDIRECT(trust_dq_cols))),MATCH(selected_dq_name_xc,INDIRECT(trust_dq_cols),0))</f>
        <v>1</v>
      </c>
      <c r="O39" s="49">
        <f t="shared" ca="1" si="1"/>
        <v>1</v>
      </c>
    </row>
    <row r="40" spans="1:15" x14ac:dyDescent="0.25">
      <c r="A40" s="36" t="s">
        <v>114</v>
      </c>
      <c r="B40" s="36" t="s">
        <v>113</v>
      </c>
      <c r="C40" s="36" t="s">
        <v>560</v>
      </c>
      <c r="D40" s="3" t="s">
        <v>7</v>
      </c>
      <c r="E40" s="2">
        <v>91</v>
      </c>
      <c r="F40" s="4">
        <v>0.8571428656578064</v>
      </c>
      <c r="G40" s="4">
        <v>0.82417583465576172</v>
      </c>
      <c r="H40" s="4">
        <v>0.73626375198364258</v>
      </c>
      <c r="I40" s="4">
        <v>0.94505494832992554</v>
      </c>
      <c r="J40" s="4">
        <v>0.83516484498977661</v>
      </c>
      <c r="K40" s="4">
        <v>0.96703296899795532</v>
      </c>
      <c r="L40" s="4">
        <v>0.71428573131561279</v>
      </c>
      <c r="N40" s="4" cm="1">
        <f t="array" aca="1" ref="N40" ca="1">INDEX(INDIRECT(trust_dq_table),(ROW()-ROW(INDIRECT(trust_dq_cols))),MATCH(selected_dq_name_xc,INDIRECT(trust_dq_cols),0))</f>
        <v>0.83516484498977661</v>
      </c>
      <c r="O40" s="49">
        <f t="shared" ca="1" si="1"/>
        <v>105</v>
      </c>
    </row>
    <row r="41" spans="1:15" x14ac:dyDescent="0.25">
      <c r="A41" s="36" t="s">
        <v>116</v>
      </c>
      <c r="B41" s="36" t="s">
        <v>115</v>
      </c>
      <c r="C41" s="36" t="s">
        <v>464</v>
      </c>
      <c r="D41" s="36" t="s">
        <v>25</v>
      </c>
      <c r="E41" s="2">
        <v>141</v>
      </c>
      <c r="F41" s="4">
        <v>0.82978725433349609</v>
      </c>
      <c r="G41" s="4">
        <v>0.87234044075012207</v>
      </c>
      <c r="H41" s="4">
        <v>0.85815602540969849</v>
      </c>
      <c r="I41" s="4">
        <v>0.93617022037506104</v>
      </c>
      <c r="J41" s="4">
        <v>0.97163122892379761</v>
      </c>
      <c r="K41" s="4">
        <v>0.85106384754180908</v>
      </c>
      <c r="L41" s="4">
        <v>0.61702126264572144</v>
      </c>
      <c r="N41" s="51" cm="1">
        <f t="array" aca="1" ref="N41" ca="1">INDEX(INDIRECT(trust_dq_table),(ROW()-ROW(INDIRECT(trust_dq_cols))),MATCH(selected_dq_name_xc,INDIRECT(trust_dq_cols),0))</f>
        <v>0.97163122892379761</v>
      </c>
      <c r="O41" s="49">
        <f t="shared" ca="1" si="1"/>
        <v>45</v>
      </c>
    </row>
    <row r="42" spans="1:15" x14ac:dyDescent="0.25">
      <c r="A42" s="36" t="s">
        <v>479</v>
      </c>
      <c r="B42" s="36" t="s">
        <v>117</v>
      </c>
      <c r="C42" s="36" t="s">
        <v>58</v>
      </c>
      <c r="D42" s="36" t="s">
        <v>24</v>
      </c>
      <c r="E42" s="2">
        <v>158</v>
      </c>
      <c r="F42" s="4">
        <v>0.67088609933853149</v>
      </c>
      <c r="G42" s="4">
        <v>0.62025314569473267</v>
      </c>
      <c r="H42" s="4">
        <v>0.91772150993347168</v>
      </c>
      <c r="I42" s="4">
        <v>0.89240509271621704</v>
      </c>
      <c r="J42" s="4">
        <v>0.90506327152252197</v>
      </c>
      <c r="K42" s="4">
        <v>0.98101264238357544</v>
      </c>
      <c r="L42" s="4">
        <v>0.50632911920547485</v>
      </c>
      <c r="N42" s="51" cm="1">
        <f t="array" aca="1" ref="N42" ca="1">INDEX(INDIRECT(trust_dq_table),(ROW()-ROW(INDIRECT(trust_dq_cols))),MATCH(selected_dq_name_xc,INDIRECT(trust_dq_cols),0))</f>
        <v>0.90506327152252197</v>
      </c>
      <c r="O42" s="49">
        <f t="shared" ca="1" si="1"/>
        <v>86</v>
      </c>
    </row>
    <row r="43" spans="1:15" x14ac:dyDescent="0.25">
      <c r="A43" s="36" t="s">
        <v>119</v>
      </c>
      <c r="B43" s="36" t="s">
        <v>118</v>
      </c>
      <c r="C43" s="36" t="s">
        <v>36</v>
      </c>
      <c r="D43" s="36" t="s">
        <v>35</v>
      </c>
      <c r="E43" s="2">
        <v>118</v>
      </c>
      <c r="F43" s="4">
        <v>0.95762711763381958</v>
      </c>
      <c r="G43" s="4">
        <v>0.97457629442214966</v>
      </c>
      <c r="H43" s="4">
        <v>0.88983052968978882</v>
      </c>
      <c r="I43" s="4">
        <v>0.94915252923965454</v>
      </c>
      <c r="J43" s="4">
        <v>0.99152541160583496</v>
      </c>
      <c r="K43" s="4">
        <v>0.88135594129562378</v>
      </c>
      <c r="L43" s="4">
        <v>0.72881358861923218</v>
      </c>
      <c r="N43" s="51" cm="1">
        <f t="array" aca="1" ref="N43" ca="1">INDEX(INDIRECT(trust_dq_table),(ROW()-ROW(INDIRECT(trust_dq_cols))),MATCH(selected_dq_name_xc,INDIRECT(trust_dq_cols),0))</f>
        <v>0.99152541160583496</v>
      </c>
      <c r="O43" s="49">
        <f t="shared" ca="1" si="1"/>
        <v>19</v>
      </c>
    </row>
    <row r="44" spans="1:15" x14ac:dyDescent="0.25">
      <c r="A44" s="36" t="s">
        <v>121</v>
      </c>
      <c r="B44" s="36" t="s">
        <v>120</v>
      </c>
      <c r="C44" s="36" t="s">
        <v>30</v>
      </c>
      <c r="D44" s="3" t="s">
        <v>29</v>
      </c>
      <c r="E44" s="2">
        <v>133</v>
      </c>
      <c r="F44" s="4">
        <v>0.60150372982025146</v>
      </c>
      <c r="G44" s="4">
        <v>0.82706767320632935</v>
      </c>
      <c r="H44" s="4">
        <v>0.79699248075485229</v>
      </c>
      <c r="I44" s="4">
        <v>0.9774436354637146</v>
      </c>
      <c r="J44" s="4">
        <v>0.95488721132278442</v>
      </c>
      <c r="K44" s="4">
        <v>0.96240603923797607</v>
      </c>
      <c r="L44" s="4">
        <v>0.54135340452194214</v>
      </c>
      <c r="N44" s="4" cm="1">
        <f t="array" aca="1" ref="N44" ca="1">INDEX(INDIRECT(trust_dq_table),(ROW()-ROW(INDIRECT(trust_dq_cols))),MATCH(selected_dq_name_xc,INDIRECT(trust_dq_cols),0))</f>
        <v>0.95488721132278442</v>
      </c>
      <c r="O44" s="49">
        <f t="shared" ca="1" si="1"/>
        <v>63</v>
      </c>
    </row>
    <row r="45" spans="1:15" x14ac:dyDescent="0.25">
      <c r="A45" s="36" t="s">
        <v>475</v>
      </c>
      <c r="B45" s="36" t="s">
        <v>122</v>
      </c>
      <c r="C45" s="36" t="s">
        <v>36</v>
      </c>
      <c r="D45" s="3" t="s">
        <v>35</v>
      </c>
      <c r="E45" s="2">
        <v>123</v>
      </c>
      <c r="F45" s="4">
        <v>0.79674798250198364</v>
      </c>
      <c r="G45" s="4">
        <v>0.88617885112762451</v>
      </c>
      <c r="H45" s="4">
        <v>0.87804877758026123</v>
      </c>
      <c r="I45" s="4">
        <v>0.91869920492172241</v>
      </c>
      <c r="J45" s="4">
        <v>0.87804877758026123</v>
      </c>
      <c r="K45" s="4">
        <v>0.76422762870788574</v>
      </c>
      <c r="L45" s="4">
        <v>0.56097561120986938</v>
      </c>
      <c r="N45" s="4" cm="1">
        <f t="array" aca="1" ref="N45" ca="1">INDEX(INDIRECT(trust_dq_table),(ROW()-ROW(INDIRECT(trust_dq_cols))),MATCH(selected_dq_name_xc,INDIRECT(trust_dq_cols),0))</f>
        <v>0.87804877758026123</v>
      </c>
      <c r="O45" s="49">
        <f t="shared" ca="1" si="1"/>
        <v>97</v>
      </c>
    </row>
    <row r="46" spans="1:15" x14ac:dyDescent="0.25">
      <c r="A46" s="36" t="s">
        <v>124</v>
      </c>
      <c r="B46" s="36" t="s">
        <v>123</v>
      </c>
      <c r="C46" s="36" t="s">
        <v>34</v>
      </c>
      <c r="D46" s="36" t="s">
        <v>33</v>
      </c>
      <c r="E46" s="2">
        <v>78</v>
      </c>
      <c r="F46" s="4">
        <v>0.38461539149284357</v>
      </c>
      <c r="G46" s="4">
        <v>0.73076921701431274</v>
      </c>
      <c r="H46" s="4">
        <v>0.94871795177459717</v>
      </c>
      <c r="I46" s="4">
        <v>0.92307692766189575</v>
      </c>
      <c r="J46" s="4">
        <v>0.96153843402862549</v>
      </c>
      <c r="K46" s="4">
        <v>0.88461536169052124</v>
      </c>
      <c r="L46" s="4">
        <v>0.70512819290161133</v>
      </c>
      <c r="N46" s="51" cm="1">
        <f t="array" aca="1" ref="N46" ca="1">INDEX(INDIRECT(trust_dq_table),(ROW()-ROW(INDIRECT(trust_dq_cols))),MATCH(selected_dq_name_xc,INDIRECT(trust_dq_cols),0))</f>
        <v>0.96153843402862549</v>
      </c>
      <c r="O46" s="49">
        <f t="shared" ca="1" si="1"/>
        <v>53</v>
      </c>
    </row>
    <row r="47" spans="1:15" x14ac:dyDescent="0.25">
      <c r="A47" s="36" t="s">
        <v>126</v>
      </c>
      <c r="B47" s="36" t="s">
        <v>125</v>
      </c>
      <c r="C47" s="36" t="s">
        <v>28</v>
      </c>
      <c r="D47" s="36" t="s">
        <v>27</v>
      </c>
      <c r="E47" s="2">
        <v>104</v>
      </c>
      <c r="F47" s="4">
        <v>0.6538461446762085</v>
      </c>
      <c r="G47" s="4">
        <v>0.54807692766189575</v>
      </c>
      <c r="H47" s="4">
        <v>0.28846153616905212</v>
      </c>
      <c r="I47" s="4">
        <v>0.91346156597137451</v>
      </c>
      <c r="J47" s="4">
        <v>0.33653846383094788</v>
      </c>
      <c r="K47" s="4">
        <v>0.88461536169052124</v>
      </c>
      <c r="L47" s="4">
        <v>0.28846153616905212</v>
      </c>
      <c r="N47" s="51" cm="1">
        <f t="array" aca="1" ref="N47" ca="1">INDEX(INDIRECT(trust_dq_table),(ROW()-ROW(INDIRECT(trust_dq_cols))),MATCH(selected_dq_name_xc,INDIRECT(trust_dq_cols),0))</f>
        <v>0.33653846383094788</v>
      </c>
      <c r="O47" s="49">
        <f t="shared" ca="1" si="1"/>
        <v>118</v>
      </c>
    </row>
    <row r="48" spans="1:15" x14ac:dyDescent="0.25">
      <c r="A48" s="36" t="s">
        <v>128</v>
      </c>
      <c r="B48" s="36" t="s">
        <v>127</v>
      </c>
      <c r="C48" s="36" t="s">
        <v>28</v>
      </c>
      <c r="D48" s="3" t="s">
        <v>27</v>
      </c>
      <c r="E48" s="2">
        <v>75</v>
      </c>
      <c r="F48" s="4">
        <v>0.93333333730697632</v>
      </c>
      <c r="G48" s="4">
        <v>0.53333336114883423</v>
      </c>
      <c r="H48" s="4">
        <v>0.80000001192092896</v>
      </c>
      <c r="I48" s="4">
        <v>0.97333335876464844</v>
      </c>
      <c r="J48" s="4">
        <v>0.87999999523162842</v>
      </c>
      <c r="K48" s="4">
        <v>0.93333333730697632</v>
      </c>
      <c r="L48" s="4">
        <v>0.65333330631256104</v>
      </c>
      <c r="N48" s="4" cm="1">
        <f t="array" aca="1" ref="N48" ca="1">INDEX(INDIRECT(trust_dq_table),(ROW()-ROW(INDIRECT(trust_dq_cols))),MATCH(selected_dq_name_xc,INDIRECT(trust_dq_cols),0))</f>
        <v>0.87999999523162842</v>
      </c>
      <c r="O48" s="49">
        <f t="shared" ca="1" si="1"/>
        <v>95</v>
      </c>
    </row>
    <row r="49" spans="1:15" x14ac:dyDescent="0.25">
      <c r="A49" s="36" t="s">
        <v>130</v>
      </c>
      <c r="B49" s="36" t="s">
        <v>129</v>
      </c>
      <c r="C49" s="36" t="s">
        <v>460</v>
      </c>
      <c r="D49" s="36" t="s">
        <v>37</v>
      </c>
      <c r="E49" s="2">
        <v>60</v>
      </c>
      <c r="F49" s="4">
        <v>0.85000002384185791</v>
      </c>
      <c r="G49" s="4">
        <v>0.86666667461395264</v>
      </c>
      <c r="H49" s="4">
        <v>0.15000000596046451</v>
      </c>
      <c r="I49" s="4">
        <v>0.89999997615814209</v>
      </c>
      <c r="J49" s="4">
        <v>0.96666663885116577</v>
      </c>
      <c r="K49" s="4">
        <v>0.98333334922790527</v>
      </c>
      <c r="L49" s="4">
        <v>0.78333336114883423</v>
      </c>
      <c r="N49" s="51" cm="1">
        <f t="array" aca="1" ref="N49" ca="1">INDEX(INDIRECT(trust_dq_table),(ROW()-ROW(INDIRECT(trust_dq_cols))),MATCH(selected_dq_name_xc,INDIRECT(trust_dq_cols),0))</f>
        <v>0.96666663885116577</v>
      </c>
      <c r="O49" s="49">
        <f t="shared" ca="1" si="1"/>
        <v>48</v>
      </c>
    </row>
    <row r="50" spans="1:15" x14ac:dyDescent="0.25">
      <c r="A50" s="36" t="s">
        <v>132</v>
      </c>
      <c r="B50" s="36" t="s">
        <v>131</v>
      </c>
      <c r="C50" s="36" t="s">
        <v>460</v>
      </c>
      <c r="D50" s="3" t="s">
        <v>37</v>
      </c>
      <c r="E50" s="2">
        <v>65</v>
      </c>
      <c r="F50" s="4">
        <v>0.8461538553237915</v>
      </c>
      <c r="G50" s="4">
        <v>0.73846155405044556</v>
      </c>
      <c r="H50" s="4">
        <v>0.9692307710647583</v>
      </c>
      <c r="I50" s="4">
        <v>0.8461538553237915</v>
      </c>
      <c r="J50" s="4">
        <v>1</v>
      </c>
      <c r="K50" s="4">
        <v>0.92307692766189575</v>
      </c>
      <c r="L50" s="4">
        <v>0.43076923489570618</v>
      </c>
      <c r="N50" s="4" cm="1">
        <f t="array" aca="1" ref="N50" ca="1">INDEX(INDIRECT(trust_dq_table),(ROW()-ROW(INDIRECT(trust_dq_cols))),MATCH(selected_dq_name_xc,INDIRECT(trust_dq_cols),0))</f>
        <v>1</v>
      </c>
      <c r="O50" s="49">
        <f t="shared" ca="1" si="1"/>
        <v>1</v>
      </c>
    </row>
    <row r="51" spans="1:15" x14ac:dyDescent="0.25">
      <c r="A51" s="36" t="s">
        <v>483</v>
      </c>
      <c r="B51" s="36" t="s">
        <v>133</v>
      </c>
      <c r="C51" s="36" t="s">
        <v>39</v>
      </c>
      <c r="D51" s="3" t="s">
        <v>38</v>
      </c>
      <c r="E51" s="2">
        <v>53</v>
      </c>
      <c r="F51" s="4">
        <v>0.90566039085388184</v>
      </c>
      <c r="G51" s="4">
        <v>0.54716980457305908</v>
      </c>
      <c r="H51" s="4">
        <v>0.92452830076217651</v>
      </c>
      <c r="I51" s="4">
        <v>0.94339621067047119</v>
      </c>
      <c r="J51" s="4">
        <v>1</v>
      </c>
      <c r="K51" s="4">
        <v>0.98113209009170532</v>
      </c>
      <c r="L51" s="4">
        <v>0.62264150381088257</v>
      </c>
      <c r="N51" s="4" cm="1">
        <f t="array" aca="1" ref="N51" ca="1">INDEX(INDIRECT(trust_dq_table),(ROW()-ROW(INDIRECT(trust_dq_cols))),MATCH(selected_dq_name_xc,INDIRECT(trust_dq_cols),0))</f>
        <v>1</v>
      </c>
      <c r="O51" s="49">
        <f t="shared" ca="1" si="1"/>
        <v>1</v>
      </c>
    </row>
    <row r="52" spans="1:15" x14ac:dyDescent="0.25">
      <c r="A52" s="36" t="s">
        <v>487</v>
      </c>
      <c r="B52" s="36" t="s">
        <v>134</v>
      </c>
      <c r="C52" s="36" t="s">
        <v>39</v>
      </c>
      <c r="D52" s="36" t="s">
        <v>38</v>
      </c>
      <c r="E52" s="2">
        <v>214</v>
      </c>
      <c r="F52" s="4">
        <v>0.90186917781829834</v>
      </c>
      <c r="G52" s="4">
        <v>0.89719623327255249</v>
      </c>
      <c r="H52" s="4">
        <v>0.93457943201065063</v>
      </c>
      <c r="I52" s="4">
        <v>0.91588783264160156</v>
      </c>
      <c r="J52" s="4">
        <v>0.985981285572052</v>
      </c>
      <c r="K52" s="4">
        <v>0.96728974580764771</v>
      </c>
      <c r="L52" s="4">
        <v>0.77570092678070068</v>
      </c>
      <c r="N52" s="51" cm="1">
        <f t="array" aca="1" ref="N52" ca="1">INDEX(INDIRECT(trust_dq_table),(ROW()-ROW(INDIRECT(trust_dq_cols))),MATCH(selected_dq_name_xc,INDIRECT(trust_dq_cols),0))</f>
        <v>0.985981285572052</v>
      </c>
      <c r="O52" s="49">
        <f t="shared" ca="1" si="1"/>
        <v>28</v>
      </c>
    </row>
    <row r="53" spans="1:15" x14ac:dyDescent="0.25">
      <c r="A53" s="36" t="s">
        <v>136</v>
      </c>
      <c r="B53" s="36" t="s">
        <v>135</v>
      </c>
      <c r="C53" s="36" t="s">
        <v>467</v>
      </c>
      <c r="D53" s="3" t="s">
        <v>12</v>
      </c>
      <c r="E53" s="2">
        <v>129</v>
      </c>
      <c r="F53" s="4">
        <v>0.56589144468307495</v>
      </c>
      <c r="G53" s="4">
        <v>0.68992245197296143</v>
      </c>
      <c r="H53" s="4">
        <v>0.90697675943374634</v>
      </c>
      <c r="I53" s="4">
        <v>0.94573640823364258</v>
      </c>
      <c r="J53" s="4">
        <v>0.97674417495727539</v>
      </c>
      <c r="K53" s="4">
        <v>0.9922480583190918</v>
      </c>
      <c r="L53" s="4">
        <v>0.61240309476852417</v>
      </c>
      <c r="N53" s="4" cm="1">
        <f t="array" aca="1" ref="N53" ca="1">INDEX(INDIRECT(trust_dq_table),(ROW()-ROW(INDIRECT(trust_dq_cols))),MATCH(selected_dq_name_xc,INDIRECT(trust_dq_cols),0))</f>
        <v>0.97674417495727539</v>
      </c>
      <c r="O53" s="49">
        <f t="shared" ca="1" si="1"/>
        <v>39</v>
      </c>
    </row>
    <row r="54" spans="1:15" x14ac:dyDescent="0.25">
      <c r="A54" s="36" t="s">
        <v>138</v>
      </c>
      <c r="B54" s="36" t="s">
        <v>137</v>
      </c>
      <c r="C54" s="36" t="s">
        <v>4</v>
      </c>
      <c r="D54" s="3" t="s">
        <v>3</v>
      </c>
      <c r="E54" s="2">
        <v>54</v>
      </c>
      <c r="F54" s="4">
        <v>0.85185188055038452</v>
      </c>
      <c r="G54" s="4">
        <v>0.64814811944961548</v>
      </c>
      <c r="H54" s="4">
        <v>0.83333331346511841</v>
      </c>
      <c r="I54" s="4">
        <v>0.94444441795349121</v>
      </c>
      <c r="J54" s="4">
        <v>0.98148149251937866</v>
      </c>
      <c r="K54" s="4">
        <v>0.94444441795349121</v>
      </c>
      <c r="L54" s="4">
        <v>0.40740740299224848</v>
      </c>
      <c r="N54" s="4" cm="1">
        <f t="array" aca="1" ref="N54" ca="1">INDEX(INDIRECT(trust_dq_table),(ROW()-ROW(INDIRECT(trust_dq_cols))),MATCH(selected_dq_name_xc,INDIRECT(trust_dq_cols),0))</f>
        <v>0.98148149251937866</v>
      </c>
      <c r="O54" s="49">
        <f t="shared" ca="1" si="1"/>
        <v>33</v>
      </c>
    </row>
    <row r="55" spans="1:15" x14ac:dyDescent="0.25">
      <c r="A55" s="36" t="s">
        <v>461</v>
      </c>
      <c r="B55" s="36" t="s">
        <v>139</v>
      </c>
      <c r="C55" s="36" t="s">
        <v>4</v>
      </c>
      <c r="D55" s="36" t="s">
        <v>3</v>
      </c>
      <c r="E55" s="2">
        <v>52</v>
      </c>
      <c r="F55" s="4">
        <v>0.92307692766189575</v>
      </c>
      <c r="G55" s="4">
        <v>0.94230771064758301</v>
      </c>
      <c r="H55" s="4">
        <v>0.98076921701431274</v>
      </c>
      <c r="I55" s="4">
        <v>0.98076921701431274</v>
      </c>
      <c r="J55" s="4">
        <v>1</v>
      </c>
      <c r="K55" s="4">
        <v>0.98076921701431274</v>
      </c>
      <c r="L55" s="4">
        <v>0.63461536169052124</v>
      </c>
      <c r="N55" s="51" cm="1">
        <f t="array" aca="1" ref="N55" ca="1">INDEX(INDIRECT(trust_dq_table),(ROW()-ROW(INDIRECT(trust_dq_cols))),MATCH(selected_dq_name_xc,INDIRECT(trust_dq_cols),0))</f>
        <v>1</v>
      </c>
      <c r="O55" s="49">
        <f t="shared" ca="1" si="1"/>
        <v>1</v>
      </c>
    </row>
    <row r="56" spans="1:15" x14ac:dyDescent="0.25">
      <c r="A56" s="36" t="s">
        <v>141</v>
      </c>
      <c r="B56" s="36" t="s">
        <v>140</v>
      </c>
      <c r="C56" s="36" t="s">
        <v>28</v>
      </c>
      <c r="D56" s="3" t="s">
        <v>27</v>
      </c>
      <c r="E56" s="2">
        <v>62</v>
      </c>
      <c r="F56" s="4">
        <v>0.64516127109527588</v>
      </c>
      <c r="G56" s="4">
        <v>0.61290323734283447</v>
      </c>
      <c r="H56" s="4">
        <v>0.59677422046661377</v>
      </c>
      <c r="I56" s="4">
        <v>0.95161288976669312</v>
      </c>
      <c r="J56" s="4">
        <v>0.66129034757614136</v>
      </c>
      <c r="K56" s="4">
        <v>0.93548387289047241</v>
      </c>
      <c r="L56" s="4">
        <v>0.54838711023330688</v>
      </c>
      <c r="N56" s="4" cm="1">
        <f t="array" aca="1" ref="N56" ca="1">INDEX(INDIRECT(trust_dq_table),(ROW()-ROW(INDIRECT(trust_dq_cols))),MATCH(selected_dq_name_xc,INDIRECT(trust_dq_cols),0))</f>
        <v>0.66129034757614136</v>
      </c>
      <c r="O56" s="49">
        <f t="shared" ca="1" si="1"/>
        <v>116</v>
      </c>
    </row>
    <row r="57" spans="1:15" x14ac:dyDescent="0.25">
      <c r="A57" s="36" t="s">
        <v>143</v>
      </c>
      <c r="B57" s="36" t="s">
        <v>142</v>
      </c>
      <c r="C57" s="36" t="s">
        <v>6</v>
      </c>
      <c r="D57" s="36" t="s">
        <v>5</v>
      </c>
      <c r="E57" s="2">
        <v>84</v>
      </c>
      <c r="F57" s="4">
        <v>0.8095238208770752</v>
      </c>
      <c r="G57" s="4">
        <v>0.6428571343421936</v>
      </c>
      <c r="H57" s="4">
        <v>0.8928571343421936</v>
      </c>
      <c r="I57" s="4">
        <v>0.96428573131561279</v>
      </c>
      <c r="J57" s="4">
        <v>0.91666668653488159</v>
      </c>
      <c r="K57" s="4">
        <v>0.96428573131561279</v>
      </c>
      <c r="L57" s="4">
        <v>0.6904761791229248</v>
      </c>
      <c r="N57" s="51" cm="1">
        <f t="array" aca="1" ref="N57" ca="1">INDEX(INDIRECT(trust_dq_table),(ROW()-ROW(INDIRECT(trust_dq_cols))),MATCH(selected_dq_name_xc,INDIRECT(trust_dq_cols),0))</f>
        <v>0.91666668653488159</v>
      </c>
      <c r="O57" s="49">
        <f t="shared" ca="1" si="1"/>
        <v>81</v>
      </c>
    </row>
    <row r="58" spans="1:15" x14ac:dyDescent="0.25">
      <c r="A58" s="36" t="s">
        <v>488</v>
      </c>
      <c r="B58" s="36" t="s">
        <v>144</v>
      </c>
      <c r="C58" s="36" t="s">
        <v>58</v>
      </c>
      <c r="D58" s="36" t="s">
        <v>24</v>
      </c>
      <c r="E58" s="2">
        <v>104</v>
      </c>
      <c r="F58" s="4">
        <v>0.56730771064758301</v>
      </c>
      <c r="G58" s="4">
        <v>4.8076923936605447E-2</v>
      </c>
      <c r="H58" s="4">
        <v>0.86538463830947876</v>
      </c>
      <c r="I58" s="4">
        <v>0.92307692766189575</v>
      </c>
      <c r="J58" s="4">
        <v>0.93269228935241699</v>
      </c>
      <c r="K58" s="4">
        <v>0.9711538553237915</v>
      </c>
      <c r="L58" s="4">
        <v>0.26923078298568731</v>
      </c>
      <c r="N58" s="51" cm="1">
        <f t="array" aca="1" ref="N58" ca="1">INDEX(INDIRECT(trust_dq_table),(ROW()-ROW(INDIRECT(trust_dq_cols))),MATCH(selected_dq_name_xc,INDIRECT(trust_dq_cols),0))</f>
        <v>0.93269228935241699</v>
      </c>
      <c r="O58" s="49">
        <f t="shared" ca="1" si="1"/>
        <v>73</v>
      </c>
    </row>
    <row r="59" spans="1:15" x14ac:dyDescent="0.25">
      <c r="A59" s="36" t="s">
        <v>146</v>
      </c>
      <c r="B59" s="36" t="s">
        <v>145</v>
      </c>
      <c r="C59" s="36" t="s">
        <v>39</v>
      </c>
      <c r="D59" s="3" t="s">
        <v>38</v>
      </c>
      <c r="E59" s="2">
        <v>99</v>
      </c>
      <c r="F59" s="4">
        <v>0.80808079242706299</v>
      </c>
      <c r="G59" s="4">
        <v>0.80808079242706299</v>
      </c>
      <c r="H59" s="4">
        <v>0.78787881135940552</v>
      </c>
      <c r="I59" s="4">
        <v>0.94949495792388916</v>
      </c>
      <c r="J59" s="4">
        <v>0.81818181276321411</v>
      </c>
      <c r="K59" s="4">
        <v>0.94949495792388916</v>
      </c>
      <c r="L59" s="4">
        <v>0.66666668653488159</v>
      </c>
      <c r="N59" s="4" cm="1">
        <f t="array" aca="1" ref="N59" ca="1">INDEX(INDIRECT(trust_dq_table),(ROW()-ROW(INDIRECT(trust_dq_cols))),MATCH(selected_dq_name_xc,INDIRECT(trust_dq_cols),0))</f>
        <v>0.81818181276321411</v>
      </c>
      <c r="O59" s="49">
        <f t="shared" ca="1" si="1"/>
        <v>107</v>
      </c>
    </row>
    <row r="60" spans="1:15" x14ac:dyDescent="0.25">
      <c r="A60" s="36" t="s">
        <v>491</v>
      </c>
      <c r="B60" s="36" t="s">
        <v>147</v>
      </c>
      <c r="C60" s="36" t="s">
        <v>19</v>
      </c>
      <c r="D60" s="36" t="s">
        <v>18</v>
      </c>
      <c r="E60" s="2">
        <v>27</v>
      </c>
      <c r="F60" s="4">
        <v>0.70370370149612427</v>
      </c>
      <c r="G60" s="4">
        <v>0.37037035822868353</v>
      </c>
      <c r="H60" s="4">
        <v>0.96296298503875732</v>
      </c>
      <c r="I60" s="4">
        <v>0.96296298503875732</v>
      </c>
      <c r="J60" s="4">
        <v>0.81481480598449707</v>
      </c>
      <c r="K60" s="4">
        <v>0.8888888955116272</v>
      </c>
      <c r="L60" s="4">
        <v>0.8888888955116272</v>
      </c>
      <c r="N60" s="51" cm="1">
        <f t="array" aca="1" ref="N60" ca="1">INDEX(INDIRECT(trust_dq_table),(ROW()-ROW(INDIRECT(trust_dq_cols))),MATCH(selected_dq_name_xc,INDIRECT(trust_dq_cols),0))</f>
        <v>0.81481480598449707</v>
      </c>
      <c r="O60" s="49">
        <f t="shared" ca="1" si="1"/>
        <v>108</v>
      </c>
    </row>
    <row r="61" spans="1:15" x14ac:dyDescent="0.25">
      <c r="A61" s="36" t="s">
        <v>482</v>
      </c>
      <c r="B61" s="36" t="s">
        <v>148</v>
      </c>
      <c r="C61" s="36" t="s">
        <v>39</v>
      </c>
      <c r="D61" s="3" t="s">
        <v>38</v>
      </c>
      <c r="E61" s="2">
        <v>96</v>
      </c>
      <c r="F61" s="4">
        <v>0.875</v>
      </c>
      <c r="G61" s="4">
        <v>0.8125</v>
      </c>
      <c r="H61" s="4">
        <v>0.73958331346511841</v>
      </c>
      <c r="I61" s="4">
        <v>0.9375</v>
      </c>
      <c r="J61" s="4">
        <v>0.95833331346511841</v>
      </c>
      <c r="K61" s="4">
        <v>0.9375</v>
      </c>
      <c r="L61" s="4">
        <v>0.69791668653488159</v>
      </c>
      <c r="N61" s="4" cm="1">
        <f t="array" aca="1" ref="N61" ca="1">INDEX(INDIRECT(trust_dq_table),(ROW()-ROW(INDIRECT(trust_dq_cols))),MATCH(selected_dq_name_xc,INDIRECT(trust_dq_cols),0))</f>
        <v>0.95833331346511841</v>
      </c>
      <c r="O61" s="49">
        <f t="shared" ca="1" si="1"/>
        <v>56</v>
      </c>
    </row>
    <row r="62" spans="1:15" x14ac:dyDescent="0.25">
      <c r="A62" s="36" t="s">
        <v>150</v>
      </c>
      <c r="B62" s="36" t="s">
        <v>149</v>
      </c>
      <c r="C62" s="36" t="s">
        <v>39</v>
      </c>
      <c r="D62" s="3" t="s">
        <v>38</v>
      </c>
      <c r="E62" s="2">
        <v>44</v>
      </c>
      <c r="F62" s="4">
        <v>0.63636362552642822</v>
      </c>
      <c r="G62" s="4">
        <v>0.95454543828964233</v>
      </c>
      <c r="H62" s="4">
        <v>0.70454543828964233</v>
      </c>
      <c r="I62" s="4">
        <v>0.93181818723678589</v>
      </c>
      <c r="J62" s="4">
        <v>0.95454543828964233</v>
      </c>
      <c r="K62" s="4">
        <v>0.77272725105285645</v>
      </c>
      <c r="L62" s="4">
        <v>0.63636362552642822</v>
      </c>
      <c r="N62" s="4" cm="1">
        <f t="array" aca="1" ref="N62" ca="1">INDEX(INDIRECT(trust_dq_table),(ROW()-ROW(INDIRECT(trust_dq_cols))),MATCH(selected_dq_name_xc,INDIRECT(trust_dq_cols),0))</f>
        <v>0.95454543828964233</v>
      </c>
      <c r="O62" s="49">
        <f t="shared" ca="1" si="1"/>
        <v>64</v>
      </c>
    </row>
    <row r="63" spans="1:15" x14ac:dyDescent="0.25">
      <c r="A63" s="36" t="s">
        <v>152</v>
      </c>
      <c r="B63" s="36" t="s">
        <v>151</v>
      </c>
      <c r="C63" s="36" t="s">
        <v>39</v>
      </c>
      <c r="D63" s="3" t="s">
        <v>38</v>
      </c>
      <c r="E63" s="2">
        <v>41</v>
      </c>
      <c r="F63" s="4">
        <v>0.80487805604934692</v>
      </c>
      <c r="G63" s="4">
        <v>1</v>
      </c>
      <c r="H63" s="4">
        <v>0.90243899822235107</v>
      </c>
      <c r="I63" s="4">
        <v>0.92682927846908569</v>
      </c>
      <c r="J63" s="4">
        <v>1</v>
      </c>
      <c r="K63" s="4">
        <v>0.85365855693817139</v>
      </c>
      <c r="L63" s="4">
        <v>0.73170733451843262</v>
      </c>
      <c r="N63" s="4" cm="1">
        <f t="array" aca="1" ref="N63" ca="1">INDEX(INDIRECT(trust_dq_table),(ROW()-ROW(INDIRECT(trust_dq_cols))),MATCH(selected_dq_name_xc,INDIRECT(trust_dq_cols),0))</f>
        <v>1</v>
      </c>
      <c r="O63" s="49">
        <f t="shared" ca="1" si="1"/>
        <v>1</v>
      </c>
    </row>
    <row r="64" spans="1:15" x14ac:dyDescent="0.25">
      <c r="A64" s="36" t="s">
        <v>154</v>
      </c>
      <c r="B64" s="36" t="s">
        <v>153</v>
      </c>
      <c r="C64" s="36" t="s">
        <v>560</v>
      </c>
      <c r="D64" s="36" t="s">
        <v>7</v>
      </c>
      <c r="E64" s="2">
        <v>150</v>
      </c>
      <c r="F64" s="4">
        <v>0.77999997138977051</v>
      </c>
      <c r="G64" s="4">
        <v>0.43999999761581421</v>
      </c>
      <c r="H64" s="4">
        <v>0.79333335161209106</v>
      </c>
      <c r="I64" s="4">
        <v>0.9466666579246521</v>
      </c>
      <c r="J64" s="4">
        <v>0.92000001668930054</v>
      </c>
      <c r="K64" s="4">
        <v>0.98000001907348633</v>
      </c>
      <c r="L64" s="4">
        <v>0.46000000834465032</v>
      </c>
      <c r="N64" s="51" cm="1">
        <f t="array" aca="1" ref="N64" ca="1">INDEX(INDIRECT(trust_dq_table),(ROW()-ROW(INDIRECT(trust_dq_cols))),MATCH(selected_dq_name_xc,INDIRECT(trust_dq_cols),0))</f>
        <v>0.92000001668930054</v>
      </c>
      <c r="O64" s="49">
        <f t="shared" ca="1" si="1"/>
        <v>79</v>
      </c>
    </row>
    <row r="65" spans="1:15" x14ac:dyDescent="0.25">
      <c r="A65" s="36" t="s">
        <v>474</v>
      </c>
      <c r="B65" s="36" t="s">
        <v>155</v>
      </c>
      <c r="C65" s="36" t="s">
        <v>11</v>
      </c>
      <c r="D65" s="36" t="s">
        <v>10</v>
      </c>
      <c r="E65" s="2">
        <v>240</v>
      </c>
      <c r="F65" s="4">
        <v>0.86250001192092896</v>
      </c>
      <c r="G65" s="4">
        <v>0.94166666269302368</v>
      </c>
      <c r="H65" s="4">
        <v>0.84166663885116577</v>
      </c>
      <c r="I65" s="4">
        <v>0.97083336114883423</v>
      </c>
      <c r="J65" s="4">
        <v>0.875</v>
      </c>
      <c r="K65" s="4">
        <v>0.99166667461395264</v>
      </c>
      <c r="L65" s="4">
        <v>0.58333331346511841</v>
      </c>
      <c r="N65" s="51" cm="1">
        <f t="array" aca="1" ref="N65" ca="1">INDEX(INDIRECT(trust_dq_table),(ROW()-ROW(INDIRECT(trust_dq_cols))),MATCH(selected_dq_name_xc,INDIRECT(trust_dq_cols),0))</f>
        <v>0.875</v>
      </c>
      <c r="O65" s="49">
        <f t="shared" ca="1" si="1"/>
        <v>98</v>
      </c>
    </row>
    <row r="66" spans="1:15" x14ac:dyDescent="0.25">
      <c r="A66" s="36" t="s">
        <v>157</v>
      </c>
      <c r="B66" s="36" t="s">
        <v>156</v>
      </c>
      <c r="C66" s="36" t="s">
        <v>11</v>
      </c>
      <c r="D66" s="3" t="s">
        <v>10</v>
      </c>
      <c r="E66" s="2">
        <v>78</v>
      </c>
      <c r="F66" s="4">
        <v>0.71794873476028442</v>
      </c>
      <c r="G66" s="4">
        <v>0.97435897588729858</v>
      </c>
      <c r="H66" s="4">
        <v>0.91025638580322266</v>
      </c>
      <c r="I66" s="4">
        <v>0.94871795177459717</v>
      </c>
      <c r="J66" s="4">
        <v>0.9871794581413269</v>
      </c>
      <c r="K66" s="4">
        <v>0.93589740991592407</v>
      </c>
      <c r="L66" s="4">
        <v>0.53846156597137451</v>
      </c>
      <c r="N66" s="4" cm="1">
        <f t="array" aca="1" ref="N66" ca="1">INDEX(INDIRECT(trust_dq_table),(ROW()-ROW(INDIRECT(trust_dq_cols))),MATCH(selected_dq_name_xc,INDIRECT(trust_dq_cols),0))</f>
        <v>0.9871794581413269</v>
      </c>
      <c r="O66" s="49">
        <f t="shared" ref="O66:O97" ca="1" si="2">RANK(N66,N:N,0)</f>
        <v>27</v>
      </c>
    </row>
    <row r="67" spans="1:15" x14ac:dyDescent="0.25">
      <c r="A67" s="36" t="s">
        <v>159</v>
      </c>
      <c r="B67" s="36" t="s">
        <v>158</v>
      </c>
      <c r="C67" s="36" t="s">
        <v>11</v>
      </c>
      <c r="D67" s="3" t="s">
        <v>10</v>
      </c>
      <c r="E67" s="2">
        <v>64</v>
      </c>
      <c r="F67" s="4">
        <v>0.890625</v>
      </c>
      <c r="G67" s="4">
        <v>0.953125</v>
      </c>
      <c r="H67" s="4">
        <v>0.9375</v>
      </c>
      <c r="I67" s="4">
        <v>0.953125</v>
      </c>
      <c r="J67" s="4">
        <v>0.984375</v>
      </c>
      <c r="K67" s="4">
        <v>0.96875</v>
      </c>
      <c r="L67" s="4">
        <v>0.703125</v>
      </c>
      <c r="N67" s="4" cm="1">
        <f t="array" aca="1" ref="N67" ca="1">INDEX(INDIRECT(trust_dq_table),(ROW()-ROW(INDIRECT(trust_dq_cols))),MATCH(selected_dq_name_xc,INDIRECT(trust_dq_cols),0))</f>
        <v>0.984375</v>
      </c>
      <c r="O67" s="49">
        <f t="shared" ca="1" si="2"/>
        <v>30</v>
      </c>
    </row>
    <row r="68" spans="1:15" x14ac:dyDescent="0.25">
      <c r="A68" s="36" t="s">
        <v>161</v>
      </c>
      <c r="B68" s="36" t="s">
        <v>160</v>
      </c>
      <c r="C68" s="36" t="s">
        <v>34</v>
      </c>
      <c r="D68" s="3" t="s">
        <v>25</v>
      </c>
      <c r="E68" s="2">
        <v>97</v>
      </c>
      <c r="F68" s="4">
        <v>0.87628865242004395</v>
      </c>
      <c r="G68" s="4">
        <v>0.94845360517501831</v>
      </c>
      <c r="H68" s="4">
        <v>0.93814432621002197</v>
      </c>
      <c r="I68" s="4">
        <v>0.89690721035003662</v>
      </c>
      <c r="J68" s="4">
        <v>0.98969072103500366</v>
      </c>
      <c r="K68" s="4">
        <v>0.96907216310501099</v>
      </c>
      <c r="L68" s="4">
        <v>0.79381442070007324</v>
      </c>
      <c r="N68" s="4" cm="1">
        <f t="array" aca="1" ref="N68" ca="1">INDEX(INDIRECT(trust_dq_table),(ROW()-ROW(INDIRECT(trust_dq_cols))),MATCH(selected_dq_name_xc,INDIRECT(trust_dq_cols),0))</f>
        <v>0.98969072103500366</v>
      </c>
      <c r="O68" s="49">
        <f t="shared" ca="1" si="2"/>
        <v>22</v>
      </c>
    </row>
    <row r="69" spans="1:15" x14ac:dyDescent="0.25">
      <c r="A69" s="36" t="s">
        <v>163</v>
      </c>
      <c r="B69" s="36" t="s">
        <v>162</v>
      </c>
      <c r="C69" s="36" t="s">
        <v>36</v>
      </c>
      <c r="D69" s="3" t="s">
        <v>35</v>
      </c>
      <c r="E69" s="2">
        <v>94</v>
      </c>
      <c r="F69" s="4">
        <v>0.89361703395843506</v>
      </c>
      <c r="G69" s="4">
        <v>0.98936170339584351</v>
      </c>
      <c r="H69" s="4">
        <v>0.95744681358337402</v>
      </c>
      <c r="I69" s="4">
        <v>0.94680851697921753</v>
      </c>
      <c r="J69" s="4">
        <v>0.98936170339584351</v>
      </c>
      <c r="K69" s="4">
        <v>0.95744681358337402</v>
      </c>
      <c r="L69" s="4">
        <v>0.6808510422706604</v>
      </c>
      <c r="N69" s="4" cm="1">
        <f t="array" aca="1" ref="N69" ca="1">INDEX(INDIRECT(trust_dq_table),(ROW()-ROW(INDIRECT(trust_dq_cols))),MATCH(selected_dq_name_xc,INDIRECT(trust_dq_cols),0))</f>
        <v>0.98936170339584351</v>
      </c>
      <c r="O69" s="49">
        <f t="shared" ca="1" si="2"/>
        <v>23</v>
      </c>
    </row>
    <row r="70" spans="1:15" x14ac:dyDescent="0.25">
      <c r="A70" s="36" t="s">
        <v>165</v>
      </c>
      <c r="B70" s="36" t="s">
        <v>164</v>
      </c>
      <c r="C70" s="36" t="s">
        <v>15</v>
      </c>
      <c r="D70" s="3" t="s">
        <v>14</v>
      </c>
      <c r="E70" s="2">
        <v>52</v>
      </c>
      <c r="F70" s="4">
        <v>0.96153843402862549</v>
      </c>
      <c r="G70" s="4">
        <v>0.86538463830947876</v>
      </c>
      <c r="H70" s="4">
        <v>0.71153843402862549</v>
      </c>
      <c r="I70" s="4">
        <v>0.98076921701431274</v>
      </c>
      <c r="J70" s="4">
        <v>0.9038461446762085</v>
      </c>
      <c r="K70" s="4">
        <v>0.92307692766189575</v>
      </c>
      <c r="L70" s="4">
        <v>0.78846156597137451</v>
      </c>
      <c r="N70" s="4" cm="1">
        <f t="array" aca="1" ref="N70" ca="1">INDEX(INDIRECT(trust_dq_table),(ROW()-ROW(INDIRECT(trust_dq_cols))),MATCH(selected_dq_name_xc,INDIRECT(trust_dq_cols),0))</f>
        <v>0.9038461446762085</v>
      </c>
      <c r="O70" s="49">
        <f t="shared" ca="1" si="2"/>
        <v>87</v>
      </c>
    </row>
    <row r="71" spans="1:15" x14ac:dyDescent="0.25">
      <c r="A71" s="36" t="s">
        <v>462</v>
      </c>
      <c r="B71" s="36" t="s">
        <v>166</v>
      </c>
      <c r="C71" s="36" t="s">
        <v>39</v>
      </c>
      <c r="D71" s="36" t="s">
        <v>38</v>
      </c>
      <c r="E71" s="2">
        <v>111</v>
      </c>
      <c r="F71" s="4">
        <v>0.85585588216781616</v>
      </c>
      <c r="G71" s="4">
        <v>0.9189189076423645</v>
      </c>
      <c r="H71" s="4">
        <v>0.87387388944625854</v>
      </c>
      <c r="I71" s="4">
        <v>0.97297298908233643</v>
      </c>
      <c r="J71" s="4">
        <v>0.99099099636077881</v>
      </c>
      <c r="K71" s="4">
        <v>0.92792791128158569</v>
      </c>
      <c r="L71" s="4">
        <v>0.67567569017410278</v>
      </c>
      <c r="N71" s="51" cm="1">
        <f t="array" aca="1" ref="N71" ca="1">INDEX(INDIRECT(trust_dq_table),(ROW()-ROW(INDIRECT(trust_dq_cols))),MATCH(selected_dq_name_xc,INDIRECT(trust_dq_cols),0))</f>
        <v>0.99099099636077881</v>
      </c>
      <c r="O71" s="49">
        <f t="shared" ca="1" si="2"/>
        <v>20</v>
      </c>
    </row>
    <row r="72" spans="1:15" x14ac:dyDescent="0.25">
      <c r="A72" s="36" t="s">
        <v>168</v>
      </c>
      <c r="B72" s="36" t="s">
        <v>167</v>
      </c>
      <c r="C72" s="36" t="s">
        <v>23</v>
      </c>
      <c r="D72" s="36" t="s">
        <v>22</v>
      </c>
      <c r="E72" s="2">
        <v>99</v>
      </c>
      <c r="F72" s="4">
        <v>0.79797977209091187</v>
      </c>
      <c r="G72" s="4">
        <v>0.67676764726638794</v>
      </c>
      <c r="H72" s="4">
        <v>0.87878787517547607</v>
      </c>
      <c r="I72" s="4">
        <v>0.97979795932769775</v>
      </c>
      <c r="J72" s="4">
        <v>0.95959597826004028</v>
      </c>
      <c r="K72" s="4">
        <v>0.96969699859619141</v>
      </c>
      <c r="L72" s="4">
        <v>8.0808080732822418E-2</v>
      </c>
      <c r="N72" s="51" cm="1">
        <f t="array" aca="1" ref="N72" ca="1">INDEX(INDIRECT(trust_dq_table),(ROW()-ROW(INDIRECT(trust_dq_cols))),MATCH(selected_dq_name_xc,INDIRECT(trust_dq_cols),0))</f>
        <v>0.95959597826004028</v>
      </c>
      <c r="O72" s="49">
        <f t="shared" ca="1" si="2"/>
        <v>55</v>
      </c>
    </row>
    <row r="73" spans="1:15" x14ac:dyDescent="0.25">
      <c r="A73" s="36" t="s">
        <v>170</v>
      </c>
      <c r="B73" s="36" t="s">
        <v>169</v>
      </c>
      <c r="C73" s="36" t="s">
        <v>6</v>
      </c>
      <c r="D73" s="36" t="s">
        <v>5</v>
      </c>
      <c r="E73" s="2">
        <v>57</v>
      </c>
      <c r="F73" s="4">
        <v>0.70175439119338989</v>
      </c>
      <c r="G73" s="4">
        <v>0.80701756477355957</v>
      </c>
      <c r="H73" s="4">
        <v>0.80701756477355957</v>
      </c>
      <c r="I73" s="4">
        <v>0.89473682641983032</v>
      </c>
      <c r="J73" s="4">
        <v>0.89473682641983032</v>
      </c>
      <c r="K73" s="4">
        <v>0.9649122953414917</v>
      </c>
      <c r="L73" s="4">
        <v>0.77192980051040649</v>
      </c>
      <c r="N73" s="51" cm="1">
        <f t="array" aca="1" ref="N73" ca="1">INDEX(INDIRECT(trust_dq_table),(ROW()-ROW(INDIRECT(trust_dq_cols))),MATCH(selected_dq_name_xc,INDIRECT(trust_dq_cols),0))</f>
        <v>0.89473682641983032</v>
      </c>
      <c r="O73" s="49">
        <f t="shared" ca="1" si="2"/>
        <v>90</v>
      </c>
    </row>
    <row r="74" spans="1:15" x14ac:dyDescent="0.25">
      <c r="A74" s="36" t="s">
        <v>172</v>
      </c>
      <c r="B74" s="36" t="s">
        <v>171</v>
      </c>
      <c r="C74" s="36" t="s">
        <v>6</v>
      </c>
      <c r="D74" s="36" t="s">
        <v>5</v>
      </c>
      <c r="E74" s="2">
        <v>54</v>
      </c>
      <c r="F74" s="4">
        <v>0.75925928354263306</v>
      </c>
      <c r="G74" s="4">
        <v>0.79629629850387573</v>
      </c>
      <c r="H74" s="4">
        <v>0.92592591047286987</v>
      </c>
      <c r="I74" s="4">
        <v>0.92592591047286987</v>
      </c>
      <c r="J74" s="4">
        <v>0.94444441795349121</v>
      </c>
      <c r="K74" s="4">
        <v>1</v>
      </c>
      <c r="L74" s="4">
        <v>0.75925928354263306</v>
      </c>
      <c r="N74" s="51" cm="1">
        <f t="array" aca="1" ref="N74" ca="1">INDEX(INDIRECT(trust_dq_table),(ROW()-ROW(INDIRECT(trust_dq_cols))),MATCH(selected_dq_name_xc,INDIRECT(trust_dq_cols),0))</f>
        <v>0.94444441795349121</v>
      </c>
      <c r="O74" s="49">
        <f t="shared" ca="1" si="2"/>
        <v>67</v>
      </c>
    </row>
    <row r="75" spans="1:15" x14ac:dyDescent="0.25">
      <c r="A75" s="36" t="s">
        <v>174</v>
      </c>
      <c r="B75" s="36" t="s">
        <v>173</v>
      </c>
      <c r="C75" s="36" t="s">
        <v>464</v>
      </c>
      <c r="D75" s="3" t="s">
        <v>25</v>
      </c>
      <c r="E75" s="2">
        <v>47</v>
      </c>
      <c r="F75" s="4">
        <v>0.74468082189559937</v>
      </c>
      <c r="G75" s="4">
        <v>0.46808511018753052</v>
      </c>
      <c r="H75" s="4">
        <v>0.80851066112518311</v>
      </c>
      <c r="I75" s="4">
        <v>0.91489362716674805</v>
      </c>
      <c r="J75" s="4">
        <v>0.95744681358337402</v>
      </c>
      <c r="K75" s="4">
        <v>0.91489362716674805</v>
      </c>
      <c r="L75" s="4">
        <v>0.46808511018753052</v>
      </c>
      <c r="N75" s="4" cm="1">
        <f t="array" aca="1" ref="N75" ca="1">INDEX(INDIRECT(trust_dq_table),(ROW()-ROW(INDIRECT(trust_dq_cols))),MATCH(selected_dq_name_xc,INDIRECT(trust_dq_cols),0))</f>
        <v>0.95744681358337402</v>
      </c>
      <c r="O75" s="49">
        <f t="shared" ca="1" si="2"/>
        <v>59</v>
      </c>
    </row>
    <row r="76" spans="1:15" x14ac:dyDescent="0.25">
      <c r="A76" s="36" t="s">
        <v>176</v>
      </c>
      <c r="B76" s="36" t="s">
        <v>175</v>
      </c>
      <c r="C76" s="36" t="s">
        <v>30</v>
      </c>
      <c r="D76" s="36" t="s">
        <v>29</v>
      </c>
      <c r="E76" s="2">
        <v>106</v>
      </c>
      <c r="F76" s="4">
        <v>0.59433960914611816</v>
      </c>
      <c r="G76" s="4">
        <v>0.86792451143264771</v>
      </c>
      <c r="H76" s="4">
        <v>0.85849058628082275</v>
      </c>
      <c r="I76" s="4">
        <v>0.93396228551864624</v>
      </c>
      <c r="J76" s="4">
        <v>0.91509431600570679</v>
      </c>
      <c r="K76" s="4">
        <v>0.95283019542694092</v>
      </c>
      <c r="L76" s="4">
        <v>0.50943398475646973</v>
      </c>
      <c r="N76" s="51" cm="1">
        <f t="array" aca="1" ref="N76" ca="1">INDEX(INDIRECT(trust_dq_table),(ROW()-ROW(INDIRECT(trust_dq_cols))),MATCH(selected_dq_name_xc,INDIRECT(trust_dq_cols),0))</f>
        <v>0.91509431600570679</v>
      </c>
      <c r="O76" s="49">
        <f t="shared" ca="1" si="2"/>
        <v>83</v>
      </c>
    </row>
    <row r="77" spans="1:15" x14ac:dyDescent="0.25">
      <c r="A77" s="36" t="s">
        <v>178</v>
      </c>
      <c r="B77" s="36" t="s">
        <v>177</v>
      </c>
      <c r="C77" s="36" t="s">
        <v>15</v>
      </c>
      <c r="D77" s="3" t="s">
        <v>14</v>
      </c>
      <c r="E77" s="2">
        <v>88</v>
      </c>
      <c r="F77" s="4">
        <v>0.94318181276321411</v>
      </c>
      <c r="G77" s="4">
        <v>0.5</v>
      </c>
      <c r="H77" s="4">
        <v>0.38636362552642822</v>
      </c>
      <c r="I77" s="4">
        <v>0.94318181276321411</v>
      </c>
      <c r="J77" s="4">
        <v>0.73863637447357178</v>
      </c>
      <c r="K77" s="4">
        <v>0.89772725105285645</v>
      </c>
      <c r="L77" s="4">
        <v>0.73863637447357178</v>
      </c>
      <c r="N77" s="4" cm="1">
        <f t="array" aca="1" ref="N77" ca="1">INDEX(INDIRECT(trust_dq_table),(ROW()-ROW(INDIRECT(trust_dq_cols))),MATCH(selected_dq_name_xc,INDIRECT(trust_dq_cols),0))</f>
        <v>0.73863637447357178</v>
      </c>
      <c r="O77" s="49">
        <f t="shared" ca="1" si="2"/>
        <v>113</v>
      </c>
    </row>
    <row r="78" spans="1:15" x14ac:dyDescent="0.25">
      <c r="A78" s="36" t="s">
        <v>480</v>
      </c>
      <c r="B78" s="36" t="s">
        <v>179</v>
      </c>
      <c r="C78" s="36" t="s">
        <v>460</v>
      </c>
      <c r="D78" s="36" t="s">
        <v>37</v>
      </c>
      <c r="E78" s="2">
        <v>32</v>
      </c>
      <c r="F78" s="4">
        <v>0.59375</v>
      </c>
      <c r="G78" s="4">
        <v>0.53125</v>
      </c>
      <c r="H78" s="4">
        <v>0.21875</v>
      </c>
      <c r="I78" s="4">
        <v>0.90625</v>
      </c>
      <c r="J78" s="4">
        <v>0.6875</v>
      </c>
      <c r="K78" s="4">
        <v>0.96875</v>
      </c>
      <c r="L78" s="4">
        <v>0.125</v>
      </c>
      <c r="N78" s="51" cm="1">
        <f t="array" aca="1" ref="N78" ca="1">INDEX(INDIRECT(trust_dq_table),(ROW()-ROW(INDIRECT(trust_dq_cols))),MATCH(selected_dq_name_xc,INDIRECT(trust_dq_cols),0))</f>
        <v>0.6875</v>
      </c>
      <c r="O78" s="49">
        <f t="shared" ca="1" si="2"/>
        <v>114</v>
      </c>
    </row>
    <row r="79" spans="1:15" x14ac:dyDescent="0.25">
      <c r="A79" s="36" t="s">
        <v>181</v>
      </c>
      <c r="B79" s="36" t="s">
        <v>180</v>
      </c>
      <c r="C79" s="36" t="s">
        <v>460</v>
      </c>
      <c r="D79" s="36" t="s">
        <v>37</v>
      </c>
      <c r="E79" s="2">
        <v>76</v>
      </c>
      <c r="F79" s="4">
        <v>0.82894736528396606</v>
      </c>
      <c r="G79" s="4">
        <v>0.81578946113586426</v>
      </c>
      <c r="H79" s="4">
        <v>0.97368419170379639</v>
      </c>
      <c r="I79" s="4">
        <v>0.77631580829620361</v>
      </c>
      <c r="J79" s="4">
        <v>1</v>
      </c>
      <c r="K79" s="4">
        <v>0.97368419170379639</v>
      </c>
      <c r="L79" s="4">
        <v>0.3815789520740509</v>
      </c>
      <c r="N79" s="51" cm="1">
        <f t="array" aca="1" ref="N79" ca="1">INDEX(INDIRECT(trust_dq_table),(ROW()-ROW(INDIRECT(trust_dq_cols))),MATCH(selected_dq_name_xc,INDIRECT(trust_dq_cols),0))</f>
        <v>1</v>
      </c>
      <c r="O79" s="49">
        <f t="shared" ca="1" si="2"/>
        <v>1</v>
      </c>
    </row>
    <row r="80" spans="1:15" x14ac:dyDescent="0.25">
      <c r="A80" s="36" t="s">
        <v>476</v>
      </c>
      <c r="B80" s="36" t="s">
        <v>182</v>
      </c>
      <c r="C80" s="36" t="s">
        <v>560</v>
      </c>
      <c r="D80" s="3" t="s">
        <v>8</v>
      </c>
      <c r="E80" s="2">
        <v>48</v>
      </c>
      <c r="F80" s="4">
        <v>0.64583331346511841</v>
      </c>
      <c r="G80" s="4">
        <v>0.5625</v>
      </c>
      <c r="H80" s="4">
        <v>0.95833331346511841</v>
      </c>
      <c r="I80" s="4">
        <v>0.91666668653488159</v>
      </c>
      <c r="J80" s="4">
        <v>0.97916668653488159</v>
      </c>
      <c r="K80" s="4">
        <v>0.95833331346511841</v>
      </c>
      <c r="L80" s="4">
        <v>0.1875</v>
      </c>
      <c r="N80" s="4" cm="1">
        <f t="array" aca="1" ref="N80" ca="1">INDEX(INDIRECT(trust_dq_table),(ROW()-ROW(INDIRECT(trust_dq_cols))),MATCH(selected_dq_name_xc,INDIRECT(trust_dq_cols),0))</f>
        <v>0.97916668653488159</v>
      </c>
      <c r="O80" s="49">
        <f t="shared" ca="1" si="2"/>
        <v>36</v>
      </c>
    </row>
    <row r="81" spans="1:15" x14ac:dyDescent="0.25">
      <c r="A81" s="36" t="s">
        <v>466</v>
      </c>
      <c r="B81" s="36" t="s">
        <v>183</v>
      </c>
      <c r="C81" s="36" t="s">
        <v>21</v>
      </c>
      <c r="D81" s="3" t="s">
        <v>20</v>
      </c>
      <c r="E81" s="2">
        <v>27</v>
      </c>
      <c r="F81" s="4">
        <v>0.62962961196899414</v>
      </c>
      <c r="G81" s="4">
        <v>0.29629629850387568</v>
      </c>
      <c r="H81" s="4">
        <v>0.40740740299224848</v>
      </c>
      <c r="I81" s="4">
        <v>0.96296298503875732</v>
      </c>
      <c r="J81" s="4">
        <v>0.85185188055038452</v>
      </c>
      <c r="K81" s="4">
        <v>0.96296298503875732</v>
      </c>
      <c r="L81" s="4">
        <v>0.59259259700775146</v>
      </c>
      <c r="N81" s="4" cm="1">
        <f t="array" aca="1" ref="N81" ca="1">INDEX(INDIRECT(trust_dq_table),(ROW()-ROW(INDIRECT(trust_dq_cols))),MATCH(selected_dq_name_xc,INDIRECT(trust_dq_cols),0))</f>
        <v>0.85185188055038452</v>
      </c>
      <c r="O81" s="49">
        <f t="shared" ca="1" si="2"/>
        <v>102</v>
      </c>
    </row>
    <row r="82" spans="1:15" x14ac:dyDescent="0.25">
      <c r="A82" s="36" t="s">
        <v>185</v>
      </c>
      <c r="B82" s="36" t="s">
        <v>184</v>
      </c>
      <c r="C82" s="36" t="s">
        <v>23</v>
      </c>
      <c r="D82" s="36" t="s">
        <v>22</v>
      </c>
      <c r="E82" s="2">
        <v>48</v>
      </c>
      <c r="F82" s="4">
        <v>0.72916668653488159</v>
      </c>
      <c r="G82" s="4">
        <v>0.72916668653488159</v>
      </c>
      <c r="H82" s="4">
        <v>0.875</v>
      </c>
      <c r="I82" s="4">
        <v>0.95833331346511841</v>
      </c>
      <c r="J82" s="4">
        <v>0.95833331346511841</v>
      </c>
      <c r="K82" s="4">
        <v>0.95833331346511841</v>
      </c>
      <c r="L82" s="4">
        <v>0.5</v>
      </c>
      <c r="N82" s="51" cm="1">
        <f t="array" aca="1" ref="N82" ca="1">INDEX(INDIRECT(trust_dq_table),(ROW()-ROW(INDIRECT(trust_dq_cols))),MATCH(selected_dq_name_xc,INDIRECT(trust_dq_cols),0))</f>
        <v>0.95833331346511841</v>
      </c>
      <c r="O82" s="49">
        <f t="shared" ca="1" si="2"/>
        <v>56</v>
      </c>
    </row>
    <row r="83" spans="1:15" x14ac:dyDescent="0.25">
      <c r="A83" s="36" t="s">
        <v>187</v>
      </c>
      <c r="B83" s="36" t="s">
        <v>186</v>
      </c>
      <c r="C83" s="36" t="s">
        <v>41</v>
      </c>
      <c r="D83" s="36" t="s">
        <v>40</v>
      </c>
      <c r="E83" s="2">
        <v>154</v>
      </c>
      <c r="F83" s="4">
        <v>0.7532467246055603</v>
      </c>
      <c r="G83" s="4">
        <v>0.54545456171035767</v>
      </c>
      <c r="H83" s="4">
        <v>0.98051947355270386</v>
      </c>
      <c r="I83" s="4">
        <v>0.88311690092086792</v>
      </c>
      <c r="J83" s="4">
        <v>0.9675324559211731</v>
      </c>
      <c r="K83" s="4">
        <v>0.96103894710540771</v>
      </c>
      <c r="L83" s="4">
        <v>0.79220777750015259</v>
      </c>
      <c r="N83" s="51" cm="1">
        <f t="array" aca="1" ref="N83" ca="1">INDEX(INDIRECT(trust_dq_table),(ROW()-ROW(INDIRECT(trust_dq_cols))),MATCH(selected_dq_name_xc,INDIRECT(trust_dq_cols),0))</f>
        <v>0.9675324559211731</v>
      </c>
      <c r="O83" s="49">
        <f t="shared" ca="1" si="2"/>
        <v>47</v>
      </c>
    </row>
    <row r="84" spans="1:15" x14ac:dyDescent="0.25">
      <c r="A84" s="36" t="s">
        <v>189</v>
      </c>
      <c r="B84" s="36" t="s">
        <v>188</v>
      </c>
      <c r="C84" s="36" t="s">
        <v>11</v>
      </c>
      <c r="D84" s="36" t="s">
        <v>10</v>
      </c>
      <c r="E84" s="2">
        <v>84</v>
      </c>
      <c r="F84" s="4">
        <v>0.9404761791229248</v>
      </c>
      <c r="G84" s="4">
        <v>0.96428573131561279</v>
      </c>
      <c r="H84" s="4">
        <v>0.88095235824584961</v>
      </c>
      <c r="I84" s="4">
        <v>0.92857140302658081</v>
      </c>
      <c r="J84" s="4">
        <v>0.98809522390365601</v>
      </c>
      <c r="K84" s="4">
        <v>0.98809522390365601</v>
      </c>
      <c r="L84" s="4">
        <v>0.72619044780731201</v>
      </c>
      <c r="N84" s="51" cm="1">
        <f t="array" aca="1" ref="N84" ca="1">INDEX(INDIRECT(trust_dq_table),(ROW()-ROW(INDIRECT(trust_dq_cols))),MATCH(selected_dq_name_xc,INDIRECT(trust_dq_cols),0))</f>
        <v>0.98809522390365601</v>
      </c>
      <c r="O84" s="49">
        <f t="shared" ca="1" si="2"/>
        <v>26</v>
      </c>
    </row>
    <row r="85" spans="1:15" x14ac:dyDescent="0.25">
      <c r="A85" s="36" t="s">
        <v>191</v>
      </c>
      <c r="B85" s="36" t="s">
        <v>190</v>
      </c>
      <c r="C85" s="36" t="s">
        <v>39</v>
      </c>
      <c r="D85" s="3" t="s">
        <v>38</v>
      </c>
      <c r="E85" s="2">
        <v>261</v>
      </c>
      <c r="F85" s="4">
        <v>0.83524906635284424</v>
      </c>
      <c r="G85" s="4">
        <v>0.91954022645950317</v>
      </c>
      <c r="H85" s="4">
        <v>0.9003831148147583</v>
      </c>
      <c r="I85" s="4">
        <v>0.92720305919647217</v>
      </c>
      <c r="J85" s="4">
        <v>0.9003831148147583</v>
      </c>
      <c r="K85" s="4">
        <v>0.92720305919647217</v>
      </c>
      <c r="L85" s="4">
        <v>0.72413790225982666</v>
      </c>
      <c r="N85" s="4" cm="1">
        <f t="array" aca="1" ref="N85" ca="1">INDEX(INDIRECT(trust_dq_table),(ROW()-ROW(INDIRECT(trust_dq_cols))),MATCH(selected_dq_name_xc,INDIRECT(trust_dq_cols),0))</f>
        <v>0.9003831148147583</v>
      </c>
      <c r="O85" s="49">
        <f t="shared" ca="1" si="2"/>
        <v>88</v>
      </c>
    </row>
    <row r="86" spans="1:15" x14ac:dyDescent="0.25">
      <c r="A86" s="36" t="s">
        <v>193</v>
      </c>
      <c r="B86" s="36" t="s">
        <v>192</v>
      </c>
      <c r="C86" s="36" t="s">
        <v>19</v>
      </c>
      <c r="D86" s="3" t="s">
        <v>18</v>
      </c>
      <c r="E86" s="2">
        <v>48</v>
      </c>
      <c r="F86" s="4">
        <v>0.64583331346511841</v>
      </c>
      <c r="G86" s="4">
        <v>0.72916668653488159</v>
      </c>
      <c r="H86" s="4">
        <v>0.1875</v>
      </c>
      <c r="I86" s="4">
        <v>1</v>
      </c>
      <c r="J86" s="4">
        <v>0.1875</v>
      </c>
      <c r="K86" s="4">
        <v>0.91666668653488159</v>
      </c>
      <c r="L86" s="4">
        <v>0.4375</v>
      </c>
      <c r="N86" s="4" cm="1">
        <f t="array" aca="1" ref="N86" ca="1">INDEX(INDIRECT(trust_dq_table),(ROW()-ROW(INDIRECT(trust_dq_cols))),MATCH(selected_dq_name_xc,INDIRECT(trust_dq_cols),0))</f>
        <v>0.1875</v>
      </c>
      <c r="O86" s="49">
        <f t="shared" ca="1" si="2"/>
        <v>120</v>
      </c>
    </row>
    <row r="87" spans="1:15" x14ac:dyDescent="0.25">
      <c r="A87" s="36" t="s">
        <v>472</v>
      </c>
      <c r="B87" s="36" t="s">
        <v>194</v>
      </c>
      <c r="C87" s="36" t="s">
        <v>23</v>
      </c>
      <c r="D87" s="36" t="s">
        <v>22</v>
      </c>
      <c r="E87" s="2">
        <v>145</v>
      </c>
      <c r="F87" s="4">
        <v>0.60000002384185791</v>
      </c>
      <c r="G87" s="4">
        <v>0.53103446960449219</v>
      </c>
      <c r="H87" s="4">
        <v>0.87586206197738647</v>
      </c>
      <c r="I87" s="4">
        <v>0.97241377830505371</v>
      </c>
      <c r="J87" s="4">
        <v>0.99310344457626343</v>
      </c>
      <c r="K87" s="4">
        <v>0.99310344457626343</v>
      </c>
      <c r="L87" s="4">
        <v>0.52413791418075562</v>
      </c>
      <c r="N87" s="51" cm="1">
        <f t="array" aca="1" ref="N87" ca="1">INDEX(INDIRECT(trust_dq_table),(ROW()-ROW(INDIRECT(trust_dq_cols))),MATCH(selected_dq_name_xc,INDIRECT(trust_dq_cols),0))</f>
        <v>0.99310344457626343</v>
      </c>
      <c r="O87" s="49">
        <f t="shared" ca="1" si="2"/>
        <v>16</v>
      </c>
    </row>
    <row r="88" spans="1:15" x14ac:dyDescent="0.25">
      <c r="A88" s="36" t="s">
        <v>196</v>
      </c>
      <c r="B88" s="36" t="s">
        <v>195</v>
      </c>
      <c r="C88" s="36" t="s">
        <v>464</v>
      </c>
      <c r="D88" s="36" t="s">
        <v>25</v>
      </c>
      <c r="E88" s="2">
        <v>144</v>
      </c>
      <c r="F88" s="4">
        <v>0.95833331346511841</v>
      </c>
      <c r="G88" s="4">
        <v>0.9236111044883728</v>
      </c>
      <c r="H88" s="4">
        <v>0.1180555522441864</v>
      </c>
      <c r="I88" s="4">
        <v>0.94444441795349121</v>
      </c>
      <c r="J88" s="4">
        <v>0.95833331346511841</v>
      </c>
      <c r="K88" s="4">
        <v>0.875</v>
      </c>
      <c r="L88" s="4">
        <v>0.72916668653488159</v>
      </c>
      <c r="N88" s="51" cm="1">
        <f t="array" aca="1" ref="N88" ca="1">INDEX(INDIRECT(trust_dq_table),(ROW()-ROW(INDIRECT(trust_dq_cols))),MATCH(selected_dq_name_xc,INDIRECT(trust_dq_cols),0))</f>
        <v>0.95833331346511841</v>
      </c>
      <c r="O88" s="49">
        <f t="shared" ca="1" si="2"/>
        <v>56</v>
      </c>
    </row>
    <row r="89" spans="1:15" x14ac:dyDescent="0.25">
      <c r="A89" s="36" t="s">
        <v>198</v>
      </c>
      <c r="B89" s="36" t="s">
        <v>197</v>
      </c>
      <c r="C89" s="36" t="s">
        <v>23</v>
      </c>
      <c r="D89" s="36" t="s">
        <v>22</v>
      </c>
      <c r="E89" s="2">
        <v>108</v>
      </c>
      <c r="F89" s="4">
        <v>0.75925928354263306</v>
      </c>
      <c r="G89" s="4">
        <v>0.94444441795349121</v>
      </c>
      <c r="H89" s="4">
        <v>0.91666668653488159</v>
      </c>
      <c r="I89" s="4">
        <v>0.96296298503875732</v>
      </c>
      <c r="J89" s="4">
        <v>0.99074071645736694</v>
      </c>
      <c r="K89" s="4">
        <v>0.98148149251937866</v>
      </c>
      <c r="L89" s="4">
        <v>0.28703704476356512</v>
      </c>
      <c r="N89" s="51" cm="1">
        <f t="array" aca="1" ref="N89" ca="1">INDEX(INDIRECT(trust_dq_table),(ROW()-ROW(INDIRECT(trust_dq_cols))),MATCH(selected_dq_name_xc,INDIRECT(trust_dq_cols),0))</f>
        <v>0.99074071645736694</v>
      </c>
      <c r="O89" s="49">
        <f t="shared" ca="1" si="2"/>
        <v>21</v>
      </c>
    </row>
    <row r="90" spans="1:15" x14ac:dyDescent="0.25">
      <c r="A90" s="36" t="s">
        <v>484</v>
      </c>
      <c r="B90" s="36" t="s">
        <v>199</v>
      </c>
      <c r="C90" s="36" t="s">
        <v>6</v>
      </c>
      <c r="D90" s="3" t="s">
        <v>5</v>
      </c>
      <c r="E90" s="2">
        <v>187</v>
      </c>
      <c r="F90" s="4">
        <v>0.8288770318031311</v>
      </c>
      <c r="G90" s="4">
        <v>0.72192513942718506</v>
      </c>
      <c r="H90" s="4">
        <v>0.91443848609924316</v>
      </c>
      <c r="I90" s="4">
        <v>0.93048125505447388</v>
      </c>
      <c r="J90" s="4">
        <v>0.96256685256958008</v>
      </c>
      <c r="K90" s="4">
        <v>0.89839571714401245</v>
      </c>
      <c r="L90" s="4">
        <v>0.64705884456634521</v>
      </c>
      <c r="N90" s="4" cm="1">
        <f t="array" aca="1" ref="N90" ca="1">INDEX(INDIRECT(trust_dq_table),(ROW()-ROW(INDIRECT(trust_dq_cols))),MATCH(selected_dq_name_xc,INDIRECT(trust_dq_cols),0))</f>
        <v>0.96256685256958008</v>
      </c>
      <c r="O90" s="49">
        <f t="shared" ca="1" si="2"/>
        <v>51</v>
      </c>
    </row>
    <row r="91" spans="1:15" x14ac:dyDescent="0.25">
      <c r="A91" s="36" t="s">
        <v>201</v>
      </c>
      <c r="B91" s="36" t="s">
        <v>200</v>
      </c>
      <c r="C91" s="36" t="s">
        <v>34</v>
      </c>
      <c r="D91" s="36" t="s">
        <v>33</v>
      </c>
      <c r="E91" s="2">
        <v>165</v>
      </c>
      <c r="F91" s="4">
        <v>0.70909088850021362</v>
      </c>
      <c r="G91" s="4">
        <v>0.67878788709640503</v>
      </c>
      <c r="H91" s="4">
        <v>0.93333333730697632</v>
      </c>
      <c r="I91" s="4">
        <v>0.95151513814926147</v>
      </c>
      <c r="J91" s="4">
        <v>0.95151513814926147</v>
      </c>
      <c r="K91" s="4">
        <v>0.81818181276321411</v>
      </c>
      <c r="L91" s="4">
        <v>0.69696968793869019</v>
      </c>
      <c r="N91" s="51" cm="1">
        <f t="array" aca="1" ref="N91" ca="1">INDEX(INDIRECT(trust_dq_table),(ROW()-ROW(INDIRECT(trust_dq_cols))),MATCH(selected_dq_name_xc,INDIRECT(trust_dq_cols),0))</f>
        <v>0.95151513814926147</v>
      </c>
      <c r="O91" s="49">
        <f t="shared" ca="1" si="2"/>
        <v>65</v>
      </c>
    </row>
    <row r="92" spans="1:15" x14ac:dyDescent="0.25">
      <c r="A92" s="36" t="s">
        <v>203</v>
      </c>
      <c r="B92" s="36" t="s">
        <v>202</v>
      </c>
      <c r="C92" s="36" t="s">
        <v>32</v>
      </c>
      <c r="D92" s="3" t="s">
        <v>31</v>
      </c>
      <c r="E92" s="2">
        <v>90</v>
      </c>
      <c r="F92" s="4">
        <v>0.76666665077209473</v>
      </c>
      <c r="G92" s="4">
        <v>0.84444445371627808</v>
      </c>
      <c r="H92" s="4">
        <v>0.63333332538604736</v>
      </c>
      <c r="I92" s="4">
        <v>0.92222219705581665</v>
      </c>
      <c r="J92" s="4">
        <v>0.85555553436279297</v>
      </c>
      <c r="K92" s="4">
        <v>0.85555553436279297</v>
      </c>
      <c r="L92" s="4">
        <v>0.64444446563720703</v>
      </c>
      <c r="N92" s="4" cm="1">
        <f t="array" aca="1" ref="N92" ca="1">INDEX(INDIRECT(trust_dq_table),(ROW()-ROW(INDIRECT(trust_dq_cols))),MATCH(selected_dq_name_xc,INDIRECT(trust_dq_cols),0))</f>
        <v>0.85555553436279297</v>
      </c>
      <c r="O92" s="49">
        <f t="shared" ca="1" si="2"/>
        <v>101</v>
      </c>
    </row>
    <row r="93" spans="1:15" x14ac:dyDescent="0.25">
      <c r="A93" s="36" t="s">
        <v>205</v>
      </c>
      <c r="B93" s="36" t="s">
        <v>204</v>
      </c>
      <c r="C93" s="36" t="s">
        <v>32</v>
      </c>
      <c r="D93" s="36" t="s">
        <v>31</v>
      </c>
      <c r="E93" s="2">
        <v>86</v>
      </c>
      <c r="F93" s="4">
        <v>0.96511626243591309</v>
      </c>
      <c r="G93" s="4">
        <v>0.96511626243591309</v>
      </c>
      <c r="H93" s="4">
        <v>0.69767439365386963</v>
      </c>
      <c r="I93" s="4">
        <v>0.93023258447647095</v>
      </c>
      <c r="J93" s="4">
        <v>1</v>
      </c>
      <c r="K93" s="4">
        <v>0.87209302186965942</v>
      </c>
      <c r="L93" s="4">
        <v>0.6860465407371521</v>
      </c>
      <c r="N93" s="51" cm="1">
        <f t="array" aca="1" ref="N93" ca="1">INDEX(INDIRECT(trust_dq_table),(ROW()-ROW(INDIRECT(trust_dq_cols))),MATCH(selected_dq_name_xc,INDIRECT(trust_dq_cols),0))</f>
        <v>1</v>
      </c>
      <c r="O93" s="49">
        <f t="shared" ca="1" si="2"/>
        <v>1</v>
      </c>
    </row>
    <row r="94" spans="1:15" x14ac:dyDescent="0.25">
      <c r="A94" s="36" t="s">
        <v>207</v>
      </c>
      <c r="B94" s="36" t="s">
        <v>206</v>
      </c>
      <c r="C94" s="36" t="s">
        <v>23</v>
      </c>
      <c r="D94" s="3" t="s">
        <v>22</v>
      </c>
      <c r="E94" s="2">
        <v>119</v>
      </c>
      <c r="F94" s="4">
        <v>0.33613446354866028</v>
      </c>
      <c r="G94" s="4">
        <v>0.78151261806488037</v>
      </c>
      <c r="H94" s="4">
        <v>0.8571428656578064</v>
      </c>
      <c r="I94" s="4">
        <v>0.95798319578170776</v>
      </c>
      <c r="J94" s="4">
        <v>0.93277311325073242</v>
      </c>
      <c r="K94" s="4">
        <v>0.91596639156341553</v>
      </c>
      <c r="L94" s="4">
        <v>0.33613446354866028</v>
      </c>
      <c r="N94" s="4" cm="1">
        <f t="array" aca="1" ref="N94" ca="1">INDEX(INDIRECT(trust_dq_table),(ROW()-ROW(INDIRECT(trust_dq_cols))),MATCH(selected_dq_name_xc,INDIRECT(trust_dq_cols),0))</f>
        <v>0.93277311325073242</v>
      </c>
      <c r="O94" s="49">
        <f t="shared" ca="1" si="2"/>
        <v>72</v>
      </c>
    </row>
    <row r="95" spans="1:15" x14ac:dyDescent="0.25">
      <c r="A95" s="36" t="s">
        <v>486</v>
      </c>
      <c r="B95" s="36" t="s">
        <v>208</v>
      </c>
      <c r="C95" s="36" t="s">
        <v>17</v>
      </c>
      <c r="D95" s="3" t="s">
        <v>16</v>
      </c>
      <c r="E95" s="2">
        <v>91</v>
      </c>
      <c r="F95" s="4">
        <v>0.8461538553237915</v>
      </c>
      <c r="G95" s="4">
        <v>1</v>
      </c>
      <c r="H95" s="4">
        <v>0.94505494832992554</v>
      </c>
      <c r="I95" s="4">
        <v>0.93406593799591064</v>
      </c>
      <c r="J95" s="4">
        <v>1</v>
      </c>
      <c r="K95" s="4">
        <v>0.83516484498977661</v>
      </c>
      <c r="L95" s="4">
        <v>0.72527474164962769</v>
      </c>
      <c r="N95" s="4" cm="1">
        <f t="array" aca="1" ref="N95" ca="1">INDEX(INDIRECT(trust_dq_table),(ROW()-ROW(INDIRECT(trust_dq_cols))),MATCH(selected_dq_name_xc,INDIRECT(trust_dq_cols),0))</f>
        <v>1</v>
      </c>
      <c r="O95" s="49">
        <f t="shared" ca="1" si="2"/>
        <v>1</v>
      </c>
    </row>
    <row r="96" spans="1:15" x14ac:dyDescent="0.25">
      <c r="A96" s="36" t="s">
        <v>210</v>
      </c>
      <c r="B96" s="36" t="s">
        <v>209</v>
      </c>
      <c r="C96" s="36" t="s">
        <v>464</v>
      </c>
      <c r="D96" s="3" t="s">
        <v>25</v>
      </c>
      <c r="E96" s="2">
        <v>64</v>
      </c>
      <c r="F96" s="4">
        <v>0.5</v>
      </c>
      <c r="G96" s="4">
        <v>4.6875E-2</v>
      </c>
      <c r="H96" s="4">
        <v>0.71875</v>
      </c>
      <c r="I96" s="4">
        <v>0.9375</v>
      </c>
      <c r="J96" s="4">
        <v>0.796875</v>
      </c>
      <c r="K96" s="4">
        <v>0.9375</v>
      </c>
      <c r="L96" s="4">
        <v>0.203125</v>
      </c>
      <c r="N96" s="4" cm="1">
        <f t="array" aca="1" ref="N96" ca="1">INDEX(INDIRECT(trust_dq_table),(ROW()-ROW(INDIRECT(trust_dq_cols))),MATCH(selected_dq_name_xc,INDIRECT(trust_dq_cols),0))</f>
        <v>0.796875</v>
      </c>
      <c r="O96" s="49">
        <f t="shared" ca="1" si="2"/>
        <v>110</v>
      </c>
    </row>
    <row r="97" spans="1:15" x14ac:dyDescent="0.25">
      <c r="A97" s="36" t="s">
        <v>463</v>
      </c>
      <c r="B97" s="36" t="s">
        <v>211</v>
      </c>
      <c r="C97" s="36" t="s">
        <v>460</v>
      </c>
      <c r="D97" s="36" t="s">
        <v>37</v>
      </c>
      <c r="E97" s="2">
        <v>54</v>
      </c>
      <c r="F97" s="4">
        <v>0.62962961196899414</v>
      </c>
      <c r="G97" s="4">
        <v>0.55555558204650879</v>
      </c>
      <c r="H97" s="4">
        <v>0.92592591047286987</v>
      </c>
      <c r="I97" s="4">
        <v>0.90740740299224854</v>
      </c>
      <c r="J97" s="4">
        <v>0.92592591047286987</v>
      </c>
      <c r="K97" s="4">
        <v>0.98148149251937866</v>
      </c>
      <c r="L97" s="4">
        <v>9.2592589557170868E-2</v>
      </c>
      <c r="N97" s="51" cm="1">
        <f t="array" aca="1" ref="N97" ca="1">INDEX(INDIRECT(trust_dq_table),(ROW()-ROW(INDIRECT(trust_dq_cols))),MATCH(selected_dq_name_xc,INDIRECT(trust_dq_cols),0))</f>
        <v>0.92592591047286987</v>
      </c>
      <c r="O97" s="49">
        <f t="shared" ca="1" si="2"/>
        <v>77</v>
      </c>
    </row>
    <row r="98" spans="1:15" x14ac:dyDescent="0.25">
      <c r="A98" s="36" t="s">
        <v>213</v>
      </c>
      <c r="B98" s="36" t="s">
        <v>212</v>
      </c>
      <c r="C98" s="36" t="s">
        <v>15</v>
      </c>
      <c r="D98" s="36" t="s">
        <v>14</v>
      </c>
      <c r="E98" s="2">
        <v>164</v>
      </c>
      <c r="F98" s="4">
        <v>0.7195122241973877</v>
      </c>
      <c r="G98" s="4">
        <v>0.94512194395065308</v>
      </c>
      <c r="H98" s="4">
        <v>0.90243899822235107</v>
      </c>
      <c r="I98" s="4">
        <v>0.98170733451843262</v>
      </c>
      <c r="J98" s="4">
        <v>0.93292683362960815</v>
      </c>
      <c r="K98" s="4">
        <v>0.86585366725921631</v>
      </c>
      <c r="L98" s="4">
        <v>0.75</v>
      </c>
      <c r="N98" s="51" cm="1">
        <f t="array" aca="1" ref="N98" ca="1">INDEX(INDIRECT(trust_dq_table),(ROW()-ROW(INDIRECT(trust_dq_cols))),MATCH(selected_dq_name_xc,INDIRECT(trust_dq_cols),0))</f>
        <v>0.93292683362960815</v>
      </c>
      <c r="O98" s="49">
        <f t="shared" ref="O98:O121" ca="1" si="3">RANK(N98,N:N,0)</f>
        <v>71</v>
      </c>
    </row>
    <row r="99" spans="1:15" x14ac:dyDescent="0.25">
      <c r="A99" s="36" t="s">
        <v>473</v>
      </c>
      <c r="B99" s="36" t="s">
        <v>214</v>
      </c>
      <c r="C99" s="36" t="s">
        <v>23</v>
      </c>
      <c r="D99" s="36" t="s">
        <v>22</v>
      </c>
      <c r="E99" s="2">
        <v>87</v>
      </c>
      <c r="F99" s="4">
        <v>0.83908045291900635</v>
      </c>
      <c r="G99" s="4">
        <v>0.98850572109222412</v>
      </c>
      <c r="H99" s="4">
        <v>0.89655172824859619</v>
      </c>
      <c r="I99" s="4">
        <v>0.94252872467041016</v>
      </c>
      <c r="J99" s="4">
        <v>0.98850572109222412</v>
      </c>
      <c r="K99" s="4">
        <v>0.93103450536727905</v>
      </c>
      <c r="L99" s="4">
        <v>0.7701149582862854</v>
      </c>
      <c r="N99" s="51" cm="1">
        <f t="array" aca="1" ref="N99" ca="1">INDEX(INDIRECT(trust_dq_table),(ROW()-ROW(INDIRECT(trust_dq_cols))),MATCH(selected_dq_name_xc,INDIRECT(trust_dq_cols),0))</f>
        <v>0.98850572109222412</v>
      </c>
      <c r="O99" s="49">
        <f t="shared" ca="1" si="3"/>
        <v>25</v>
      </c>
    </row>
    <row r="100" spans="1:15" x14ac:dyDescent="0.25">
      <c r="A100" s="36" t="s">
        <v>216</v>
      </c>
      <c r="B100" s="36" t="s">
        <v>215</v>
      </c>
      <c r="C100" s="36" t="s">
        <v>467</v>
      </c>
      <c r="D100" s="36" t="s">
        <v>12</v>
      </c>
      <c r="E100" s="2">
        <v>119</v>
      </c>
      <c r="F100" s="4">
        <v>0.13445378839969641</v>
      </c>
      <c r="G100" s="4">
        <v>0.36974790692329412</v>
      </c>
      <c r="H100" s="4">
        <v>0.88235294818878174</v>
      </c>
      <c r="I100" s="4">
        <v>0.94957983493804932</v>
      </c>
      <c r="J100" s="4">
        <v>0.94117647409439087</v>
      </c>
      <c r="K100" s="4">
        <v>0.79831933975219727</v>
      </c>
      <c r="L100" s="4">
        <v>0.58823531866073608</v>
      </c>
      <c r="N100" s="51" cm="1">
        <f t="array" aca="1" ref="N100" ca="1">INDEX(INDIRECT(trust_dq_table),(ROW()-ROW(INDIRECT(trust_dq_cols))),MATCH(selected_dq_name_xc,INDIRECT(trust_dq_cols),0))</f>
        <v>0.94117647409439087</v>
      </c>
      <c r="O100" s="49">
        <f t="shared" ca="1" si="3"/>
        <v>68</v>
      </c>
    </row>
    <row r="101" spans="1:15" x14ac:dyDescent="0.25">
      <c r="A101" s="36" t="s">
        <v>218</v>
      </c>
      <c r="B101" s="36" t="s">
        <v>217</v>
      </c>
      <c r="C101" s="36" t="s">
        <v>6</v>
      </c>
      <c r="D101" s="36" t="s">
        <v>5</v>
      </c>
      <c r="E101" s="2">
        <v>162</v>
      </c>
      <c r="F101" s="4">
        <v>0.88271605968475342</v>
      </c>
      <c r="G101" s="4">
        <v>0.89506173133850098</v>
      </c>
      <c r="H101" s="4">
        <v>0.91358023881912231</v>
      </c>
      <c r="I101" s="4">
        <v>0.95061731338500977</v>
      </c>
      <c r="J101" s="4">
        <v>0.99382716417312622</v>
      </c>
      <c r="K101" s="4">
        <v>0.93209874629974365</v>
      </c>
      <c r="L101" s="4">
        <v>0.14197531342506409</v>
      </c>
      <c r="N101" s="51" cm="1">
        <f t="array" aca="1" ref="N101" ca="1">INDEX(INDIRECT(trust_dq_table),(ROW()-ROW(INDIRECT(trust_dq_cols))),MATCH(selected_dq_name_xc,INDIRECT(trust_dq_cols),0))</f>
        <v>0.99382716417312622</v>
      </c>
      <c r="O101" s="49">
        <f t="shared" ca="1" si="3"/>
        <v>15</v>
      </c>
    </row>
    <row r="102" spans="1:15" x14ac:dyDescent="0.25">
      <c r="A102" s="36" t="s">
        <v>485</v>
      </c>
      <c r="B102" s="36" t="s">
        <v>219</v>
      </c>
      <c r="C102" s="36" t="s">
        <v>6</v>
      </c>
      <c r="D102" s="36" t="s">
        <v>5</v>
      </c>
      <c r="E102" s="2">
        <v>255</v>
      </c>
      <c r="F102" s="4">
        <v>0.87058824300765991</v>
      </c>
      <c r="G102" s="4">
        <v>0.35294118523597717</v>
      </c>
      <c r="H102" s="4">
        <v>0.89803922176361084</v>
      </c>
      <c r="I102" s="4">
        <v>0.93725490570068359</v>
      </c>
      <c r="J102" s="4">
        <v>0.9686274528503418</v>
      </c>
      <c r="K102" s="4">
        <v>0.9686274528503418</v>
      </c>
      <c r="L102" s="4">
        <v>0.46666666865348821</v>
      </c>
      <c r="N102" s="51" cm="1">
        <f t="array" aca="1" ref="N102" ca="1">INDEX(INDIRECT(trust_dq_table),(ROW()-ROW(INDIRECT(trust_dq_cols))),MATCH(selected_dq_name_xc,INDIRECT(trust_dq_cols),0))</f>
        <v>0.9686274528503418</v>
      </c>
      <c r="O102" s="49">
        <f t="shared" ca="1" si="3"/>
        <v>46</v>
      </c>
    </row>
    <row r="103" spans="1:15" x14ac:dyDescent="0.25">
      <c r="A103" s="36" t="s">
        <v>221</v>
      </c>
      <c r="B103" s="36" t="s">
        <v>220</v>
      </c>
      <c r="C103" s="36" t="s">
        <v>15</v>
      </c>
      <c r="D103" s="3" t="s">
        <v>14</v>
      </c>
      <c r="E103" s="2">
        <v>95</v>
      </c>
      <c r="F103" s="4">
        <v>0.55789476633071899</v>
      </c>
      <c r="G103" s="4">
        <v>0.53684210777282715</v>
      </c>
      <c r="H103" s="4">
        <v>0.54736840724945068</v>
      </c>
      <c r="I103" s="4">
        <v>0.9263157844543457</v>
      </c>
      <c r="J103" s="4">
        <v>0.60000002384185791</v>
      </c>
      <c r="K103" s="4">
        <v>0.94736844301223755</v>
      </c>
      <c r="L103" s="4">
        <v>0.31578946113586431</v>
      </c>
      <c r="N103" s="4" cm="1">
        <f t="array" aca="1" ref="N103" ca="1">INDEX(INDIRECT(trust_dq_table),(ROW()-ROW(INDIRECT(trust_dq_cols))),MATCH(selected_dq_name_xc,INDIRECT(trust_dq_cols),0))</f>
        <v>0.60000002384185791</v>
      </c>
      <c r="O103" s="49">
        <f t="shared" ca="1" si="3"/>
        <v>117</v>
      </c>
    </row>
    <row r="104" spans="1:15" x14ac:dyDescent="0.25">
      <c r="A104" s="36" t="s">
        <v>490</v>
      </c>
      <c r="B104" s="36" t="s">
        <v>222</v>
      </c>
      <c r="C104" s="36" t="s">
        <v>560</v>
      </c>
      <c r="D104" s="3" t="s">
        <v>8</v>
      </c>
      <c r="E104" s="2">
        <v>84</v>
      </c>
      <c r="F104" s="4">
        <v>0.9523809552192688</v>
      </c>
      <c r="G104" s="4">
        <v>0.97619044780731201</v>
      </c>
      <c r="H104" s="4">
        <v>0.9523809552192688</v>
      </c>
      <c r="I104" s="4">
        <v>0.96428573131561279</v>
      </c>
      <c r="J104" s="4">
        <v>1</v>
      </c>
      <c r="K104" s="4">
        <v>0.96428573131561279</v>
      </c>
      <c r="L104" s="4">
        <v>0.7976190447807312</v>
      </c>
      <c r="N104" s="51" cm="1">
        <f t="array" aca="1" ref="N104" ca="1">INDEX(INDIRECT(trust_dq_table),(ROW()-ROW(INDIRECT(trust_dq_cols))),MATCH(selected_dq_name_xc,INDIRECT(trust_dq_cols),0))</f>
        <v>1</v>
      </c>
      <c r="O104" s="49">
        <f t="shared" ca="1" si="3"/>
        <v>1</v>
      </c>
    </row>
    <row r="105" spans="1:15" x14ac:dyDescent="0.25">
      <c r="A105" s="36" t="s">
        <v>224</v>
      </c>
      <c r="B105" s="36" t="s">
        <v>223</v>
      </c>
      <c r="C105" s="36" t="s">
        <v>560</v>
      </c>
      <c r="D105" s="36" t="s">
        <v>8</v>
      </c>
      <c r="E105" s="2">
        <v>70</v>
      </c>
      <c r="F105" s="4">
        <v>0.68571430444717407</v>
      </c>
      <c r="G105" s="4">
        <v>0.55714285373687744</v>
      </c>
      <c r="H105" s="4">
        <v>0.6428571343421936</v>
      </c>
      <c r="I105" s="4">
        <v>0.95714282989501953</v>
      </c>
      <c r="J105" s="4">
        <v>0.75714284181594849</v>
      </c>
      <c r="K105" s="4">
        <v>0.95714282989501953</v>
      </c>
      <c r="L105" s="4">
        <v>0.55714285373687744</v>
      </c>
      <c r="N105" s="51" cm="1">
        <f t="array" aca="1" ref="N105" ca="1">INDEX(INDIRECT(trust_dq_table),(ROW()-ROW(INDIRECT(trust_dq_cols))),MATCH(selected_dq_name_xc,INDIRECT(trust_dq_cols),0))</f>
        <v>0.75714284181594849</v>
      </c>
      <c r="O105" s="49">
        <f t="shared" ca="1" si="3"/>
        <v>111</v>
      </c>
    </row>
    <row r="106" spans="1:15" x14ac:dyDescent="0.25">
      <c r="A106" s="36" t="s">
        <v>226</v>
      </c>
      <c r="B106" s="36" t="s">
        <v>225</v>
      </c>
      <c r="C106" s="36" t="s">
        <v>11</v>
      </c>
      <c r="D106" s="3" t="s">
        <v>10</v>
      </c>
      <c r="E106" s="2">
        <v>74</v>
      </c>
      <c r="F106" s="4">
        <v>0.93243241310119629</v>
      </c>
      <c r="G106" s="4">
        <v>0.9189189076423645</v>
      </c>
      <c r="H106" s="4">
        <v>0.59459459781646729</v>
      </c>
      <c r="I106" s="4">
        <v>0.93243241310119629</v>
      </c>
      <c r="J106" s="4">
        <v>0.97297298908233643</v>
      </c>
      <c r="K106" s="4">
        <v>0.97297298908233643</v>
      </c>
      <c r="L106" s="4">
        <v>0.68918919563293457</v>
      </c>
      <c r="N106" s="4" cm="1">
        <f t="array" aca="1" ref="N106" ca="1">INDEX(INDIRECT(trust_dq_table),(ROW()-ROW(INDIRECT(trust_dq_cols))),MATCH(selected_dq_name_xc,INDIRECT(trust_dq_cols),0))</f>
        <v>0.97297298908233643</v>
      </c>
      <c r="O106" s="49">
        <f t="shared" ca="1" si="3"/>
        <v>43</v>
      </c>
    </row>
    <row r="107" spans="1:15" x14ac:dyDescent="0.25">
      <c r="A107" s="36" t="s">
        <v>228</v>
      </c>
      <c r="B107" s="36" t="s">
        <v>227</v>
      </c>
      <c r="C107" s="36" t="s">
        <v>39</v>
      </c>
      <c r="D107" s="3" t="s">
        <v>38</v>
      </c>
      <c r="E107" s="2">
        <v>144</v>
      </c>
      <c r="F107" s="4">
        <v>0.84722220897674561</v>
      </c>
      <c r="G107" s="4">
        <v>0.97222220897674561</v>
      </c>
      <c r="H107" s="4">
        <v>0.89583331346511841</v>
      </c>
      <c r="I107" s="4">
        <v>0.9375</v>
      </c>
      <c r="J107" s="4">
        <v>0.97916668653488159</v>
      </c>
      <c r="K107" s="4">
        <v>0.9236111044883728</v>
      </c>
      <c r="L107" s="4">
        <v>0.7986111044883728</v>
      </c>
      <c r="N107" s="4" cm="1">
        <f t="array" aca="1" ref="N107" ca="1">INDEX(INDIRECT(trust_dq_table),(ROW()-ROW(INDIRECT(trust_dq_cols))),MATCH(selected_dq_name_xc,INDIRECT(trust_dq_cols),0))</f>
        <v>0.97916668653488159</v>
      </c>
      <c r="O107" s="49">
        <f t="shared" ca="1" si="3"/>
        <v>36</v>
      </c>
    </row>
    <row r="108" spans="1:15" x14ac:dyDescent="0.25">
      <c r="A108" s="36" t="s">
        <v>489</v>
      </c>
      <c r="B108" s="36" t="s">
        <v>229</v>
      </c>
      <c r="C108" s="36" t="s">
        <v>4</v>
      </c>
      <c r="D108" s="36" t="s">
        <v>3</v>
      </c>
      <c r="E108" s="2">
        <v>76</v>
      </c>
      <c r="F108" s="4">
        <v>0.85526317358016968</v>
      </c>
      <c r="G108" s="4">
        <v>0.97368419170379639</v>
      </c>
      <c r="H108" s="4">
        <v>0.84210526943206787</v>
      </c>
      <c r="I108" s="4">
        <v>0.93421053886413574</v>
      </c>
      <c r="J108" s="4">
        <v>0.88157892227172852</v>
      </c>
      <c r="K108" s="4">
        <v>0.96052628755569458</v>
      </c>
      <c r="L108" s="4">
        <v>0.53947371244430542</v>
      </c>
      <c r="N108" s="4" cm="1">
        <f t="array" aca="1" ref="N108" ca="1">INDEX(INDIRECT(trust_dq_table),(ROW()-ROW(INDIRECT(trust_dq_cols))),MATCH(selected_dq_name_xc,INDIRECT(trust_dq_cols),0))</f>
        <v>0.88157892227172852</v>
      </c>
      <c r="O108" s="49">
        <f t="shared" ca="1" si="3"/>
        <v>94</v>
      </c>
    </row>
    <row r="109" spans="1:15" x14ac:dyDescent="0.25">
      <c r="A109" s="36" t="s">
        <v>459</v>
      </c>
      <c r="B109" s="36" t="s">
        <v>230</v>
      </c>
      <c r="C109" s="36" t="s">
        <v>41</v>
      </c>
      <c r="D109" s="36" t="s">
        <v>40</v>
      </c>
      <c r="E109" s="2">
        <v>81</v>
      </c>
      <c r="F109" s="4">
        <v>0.76543211936950684</v>
      </c>
      <c r="G109" s="4">
        <v>0.67901235818862915</v>
      </c>
      <c r="H109" s="4">
        <v>0.8888888955116272</v>
      </c>
      <c r="I109" s="4">
        <v>0.90123456716537476</v>
      </c>
      <c r="J109" s="4">
        <v>0.91358023881912231</v>
      </c>
      <c r="K109" s="4">
        <v>1</v>
      </c>
      <c r="L109" s="4">
        <v>0.74074071645736694</v>
      </c>
      <c r="N109" s="51" cm="1">
        <f t="array" aca="1" ref="N109" ca="1">INDEX(INDIRECT(trust_dq_table),(ROW()-ROW(INDIRECT(trust_dq_cols))),MATCH(selected_dq_name_xc,INDIRECT(trust_dq_cols),0))</f>
        <v>0.91358023881912231</v>
      </c>
      <c r="O109" s="49">
        <f t="shared" ca="1" si="3"/>
        <v>84</v>
      </c>
    </row>
    <row r="110" spans="1:15" x14ac:dyDescent="0.25">
      <c r="A110" s="36" t="s">
        <v>232</v>
      </c>
      <c r="B110" s="36" t="s">
        <v>231</v>
      </c>
      <c r="C110" s="36" t="s">
        <v>6</v>
      </c>
      <c r="D110" s="3" t="s">
        <v>5</v>
      </c>
      <c r="E110" s="2">
        <v>210</v>
      </c>
      <c r="F110" s="4">
        <v>0.51428574323654175</v>
      </c>
      <c r="G110" s="4">
        <v>0.55238097906112671</v>
      </c>
      <c r="H110" s="4">
        <v>0.86190474033355713</v>
      </c>
      <c r="I110" s="4">
        <v>0.92380952835083008</v>
      </c>
      <c r="J110" s="4">
        <v>0.84761905670166016</v>
      </c>
      <c r="K110" s="4">
        <v>0.82380950450897217</v>
      </c>
      <c r="L110" s="4">
        <v>0.47142857313156128</v>
      </c>
      <c r="N110" s="4" cm="1">
        <f t="array" aca="1" ref="N110" ca="1">INDEX(INDIRECT(trust_dq_table),(ROW()-ROW(INDIRECT(trust_dq_cols))),MATCH(selected_dq_name_xc,INDIRECT(trust_dq_cols),0))</f>
        <v>0.84761905670166016</v>
      </c>
      <c r="O110" s="49">
        <f t="shared" ca="1" si="3"/>
        <v>103</v>
      </c>
    </row>
    <row r="111" spans="1:15" x14ac:dyDescent="0.25">
      <c r="A111" s="36" t="s">
        <v>234</v>
      </c>
      <c r="B111" s="36" t="s">
        <v>233</v>
      </c>
      <c r="C111" s="36" t="s">
        <v>32</v>
      </c>
      <c r="D111" s="3" t="s">
        <v>31</v>
      </c>
      <c r="E111" s="2">
        <v>114</v>
      </c>
      <c r="F111" s="4">
        <v>0.64912283420562744</v>
      </c>
      <c r="G111" s="4">
        <v>0.29824560880661011</v>
      </c>
      <c r="H111" s="4">
        <v>0.78070175647735596</v>
      </c>
      <c r="I111" s="4">
        <v>0.9649122953414917</v>
      </c>
      <c r="J111" s="4">
        <v>0.74561405181884766</v>
      </c>
      <c r="K111" s="4">
        <v>0.80701756477355957</v>
      </c>
      <c r="L111" s="4">
        <v>0.3333333432674408</v>
      </c>
      <c r="N111" s="4" cm="1">
        <f t="array" aca="1" ref="N111" ca="1">INDEX(INDIRECT(trust_dq_table),(ROW()-ROW(INDIRECT(trust_dq_cols))),MATCH(selected_dq_name_xc,INDIRECT(trust_dq_cols),0))</f>
        <v>0.74561405181884766</v>
      </c>
      <c r="O111" s="49">
        <f t="shared" ca="1" si="3"/>
        <v>112</v>
      </c>
    </row>
    <row r="112" spans="1:15" x14ac:dyDescent="0.25">
      <c r="A112" s="36" t="s">
        <v>471</v>
      </c>
      <c r="B112" s="36" t="s">
        <v>235</v>
      </c>
      <c r="C112" s="36" t="s">
        <v>41</v>
      </c>
      <c r="D112" s="36" t="s">
        <v>40</v>
      </c>
      <c r="E112" s="2">
        <v>152</v>
      </c>
      <c r="F112" s="4">
        <v>0.69736844301223755</v>
      </c>
      <c r="G112" s="4">
        <v>0.79605263471603394</v>
      </c>
      <c r="H112" s="4">
        <v>0.94736844301223755</v>
      </c>
      <c r="I112" s="4">
        <v>0.92763155698776245</v>
      </c>
      <c r="J112" s="4">
        <v>0.94078946113586426</v>
      </c>
      <c r="K112" s="4">
        <v>0.96052628755569458</v>
      </c>
      <c r="L112" s="4">
        <v>0.58552628755569458</v>
      </c>
      <c r="N112" s="51" cm="1">
        <f t="array" aca="1" ref="N112" ca="1">INDEX(INDIRECT(trust_dq_table),(ROW()-ROW(INDIRECT(trust_dq_cols))),MATCH(selected_dq_name_xc,INDIRECT(trust_dq_cols),0))</f>
        <v>0.94078946113586426</v>
      </c>
      <c r="O112" s="49">
        <f t="shared" ca="1" si="3"/>
        <v>69</v>
      </c>
    </row>
    <row r="113" spans="1:15" x14ac:dyDescent="0.25">
      <c r="A113" s="36" t="s">
        <v>237</v>
      </c>
      <c r="B113" s="36" t="s">
        <v>236</v>
      </c>
      <c r="C113" s="36" t="s">
        <v>39</v>
      </c>
      <c r="D113" s="36" t="s">
        <v>38</v>
      </c>
      <c r="E113" s="2">
        <v>106</v>
      </c>
      <c r="F113" s="4">
        <v>0.76415091753005981</v>
      </c>
      <c r="G113" s="4">
        <v>0.79245281219482422</v>
      </c>
      <c r="H113" s="4">
        <v>0.67924529314041138</v>
      </c>
      <c r="I113" s="4">
        <v>0.94339621067047119</v>
      </c>
      <c r="J113" s="4">
        <v>0.98113209009170532</v>
      </c>
      <c r="K113" s="4">
        <v>0.9716981053352356</v>
      </c>
      <c r="L113" s="4">
        <v>0.74528300762176514</v>
      </c>
      <c r="N113" s="51" cm="1">
        <f t="array" aca="1" ref="N113" ca="1">INDEX(INDIRECT(trust_dq_table),(ROW()-ROW(INDIRECT(trust_dq_cols))),MATCH(selected_dq_name_xc,INDIRECT(trust_dq_cols),0))</f>
        <v>0.98113209009170532</v>
      </c>
      <c r="O113" s="49">
        <f t="shared" ca="1" si="3"/>
        <v>34</v>
      </c>
    </row>
    <row r="114" spans="1:15" x14ac:dyDescent="0.25">
      <c r="A114" s="36" t="s">
        <v>239</v>
      </c>
      <c r="B114" s="36" t="s">
        <v>238</v>
      </c>
      <c r="C114" s="36" t="s">
        <v>17</v>
      </c>
      <c r="D114" s="36" t="s">
        <v>16</v>
      </c>
      <c r="E114" s="2">
        <v>98</v>
      </c>
      <c r="F114" s="4">
        <v>0.83673471212387085</v>
      </c>
      <c r="G114" s="4">
        <v>0.67346936464309692</v>
      </c>
      <c r="H114" s="4">
        <v>0.87755101919174194</v>
      </c>
      <c r="I114" s="4">
        <v>0.96938776969909668</v>
      </c>
      <c r="J114" s="4">
        <v>0.92857140302658081</v>
      </c>
      <c r="K114" s="4">
        <v>0.96938776969909668</v>
      </c>
      <c r="L114" s="4">
        <v>0.84693878889083862</v>
      </c>
      <c r="N114" s="51" cm="1">
        <f t="array" aca="1" ref="N114" ca="1">INDEX(INDIRECT(trust_dq_table),(ROW()-ROW(INDIRECT(trust_dq_cols))),MATCH(selected_dq_name_xc,INDIRECT(trust_dq_cols),0))</f>
        <v>0.92857140302658081</v>
      </c>
      <c r="O114" s="49">
        <f t="shared" ca="1" si="3"/>
        <v>75</v>
      </c>
    </row>
    <row r="115" spans="1:15" x14ac:dyDescent="0.25">
      <c r="A115" s="36" t="s">
        <v>241</v>
      </c>
      <c r="B115" s="36" t="s">
        <v>240</v>
      </c>
      <c r="C115" s="36" t="s">
        <v>17</v>
      </c>
      <c r="D115" s="3" t="s">
        <v>16</v>
      </c>
      <c r="E115" s="2">
        <v>106</v>
      </c>
      <c r="F115" s="4">
        <v>0.8396226167678833</v>
      </c>
      <c r="G115" s="4">
        <v>0.99056601524353027</v>
      </c>
      <c r="H115" s="4">
        <v>0.92452830076217651</v>
      </c>
      <c r="I115" s="4">
        <v>0.93396228551864624</v>
      </c>
      <c r="J115" s="4">
        <v>0.96226418018341064</v>
      </c>
      <c r="K115" s="4">
        <v>0.96226418018341064</v>
      </c>
      <c r="L115" s="4">
        <v>0.6603773832321167</v>
      </c>
      <c r="N115" s="4" cm="1">
        <f t="array" aca="1" ref="N115" ca="1">INDEX(INDIRECT(trust_dq_table),(ROW()-ROW(INDIRECT(trust_dq_cols))),MATCH(selected_dq_name_xc,INDIRECT(trust_dq_cols),0))</f>
        <v>0.96226418018341064</v>
      </c>
      <c r="O115" s="49">
        <f t="shared" ca="1" si="3"/>
        <v>52</v>
      </c>
    </row>
    <row r="116" spans="1:15" x14ac:dyDescent="0.25">
      <c r="A116" s="36" t="s">
        <v>243</v>
      </c>
      <c r="B116" s="36" t="s">
        <v>242</v>
      </c>
      <c r="C116" s="36" t="s">
        <v>23</v>
      </c>
      <c r="D116" s="3" t="s">
        <v>22</v>
      </c>
      <c r="E116" s="2">
        <v>123</v>
      </c>
      <c r="F116" s="4">
        <v>0.7804877758026123</v>
      </c>
      <c r="G116" s="4">
        <v>0.98373985290527344</v>
      </c>
      <c r="H116" s="4">
        <v>0.89430892467498779</v>
      </c>
      <c r="I116" s="4">
        <v>0.94308942556381226</v>
      </c>
      <c r="J116" s="4">
        <v>0.99186992645263672</v>
      </c>
      <c r="K116" s="4">
        <v>0.91869920492172241</v>
      </c>
      <c r="L116" s="4">
        <v>0.7804877758026123</v>
      </c>
      <c r="N116" s="4" cm="1">
        <f t="array" aca="1" ref="N116" ca="1">INDEX(INDIRECT(trust_dq_table),(ROW()-ROW(INDIRECT(trust_dq_cols))),MATCH(selected_dq_name_xc,INDIRECT(trust_dq_cols),0))</f>
        <v>0.99186992645263672</v>
      </c>
      <c r="O116" s="49">
        <f t="shared" ca="1" si="3"/>
        <v>17</v>
      </c>
    </row>
    <row r="117" spans="1:15" x14ac:dyDescent="0.25">
      <c r="A117" s="36" t="s">
        <v>245</v>
      </c>
      <c r="B117" s="36" t="s">
        <v>244</v>
      </c>
      <c r="C117" s="36" t="s">
        <v>34</v>
      </c>
      <c r="D117" s="3" t="s">
        <v>33</v>
      </c>
      <c r="E117" s="2">
        <v>77</v>
      </c>
      <c r="F117" s="4">
        <v>0.72727274894714355</v>
      </c>
      <c r="G117" s="4">
        <v>0.67532467842102051</v>
      </c>
      <c r="H117" s="4">
        <v>0.90909093618392944</v>
      </c>
      <c r="I117" s="4">
        <v>0.94805192947387695</v>
      </c>
      <c r="J117" s="4">
        <v>0.89610391855239868</v>
      </c>
      <c r="K117" s="4">
        <v>0.98701298236846924</v>
      </c>
      <c r="L117" s="4">
        <v>0.68831169605255127</v>
      </c>
      <c r="N117" s="4" cm="1">
        <f t="array" aca="1" ref="N117" ca="1">INDEX(INDIRECT(trust_dq_table),(ROW()-ROW(INDIRECT(trust_dq_cols))),MATCH(selected_dq_name_xc,INDIRECT(trust_dq_cols),0))</f>
        <v>0.89610391855239868</v>
      </c>
      <c r="O117" s="49">
        <f t="shared" ca="1" si="3"/>
        <v>89</v>
      </c>
    </row>
    <row r="118" spans="1:15" x14ac:dyDescent="0.25">
      <c r="A118" s="36" t="s">
        <v>247</v>
      </c>
      <c r="B118" s="36" t="s">
        <v>246</v>
      </c>
      <c r="C118" s="36" t="s">
        <v>17</v>
      </c>
      <c r="D118" s="3" t="s">
        <v>16</v>
      </c>
      <c r="E118" s="2">
        <v>93</v>
      </c>
      <c r="F118" s="4">
        <v>0.93548387289047241</v>
      </c>
      <c r="G118" s="4">
        <v>0.92473119497299194</v>
      </c>
      <c r="H118" s="4">
        <v>0.93548387289047241</v>
      </c>
      <c r="I118" s="4">
        <v>0.89247310161590576</v>
      </c>
      <c r="J118" s="4">
        <v>0.98924732208251953</v>
      </c>
      <c r="K118" s="4">
        <v>0.96774190664291382</v>
      </c>
      <c r="L118" s="4">
        <v>0.86021506786346436</v>
      </c>
      <c r="N118" s="4" cm="1">
        <f t="array" aca="1" ref="N118" ca="1">INDEX(INDIRECT(trust_dq_table),(ROW()-ROW(INDIRECT(trust_dq_cols))),MATCH(selected_dq_name_xc,INDIRECT(trust_dq_cols),0))</f>
        <v>0.98924732208251953</v>
      </c>
      <c r="O118" s="49">
        <f t="shared" ca="1" si="3"/>
        <v>24</v>
      </c>
    </row>
    <row r="119" spans="1:15" x14ac:dyDescent="0.25">
      <c r="A119" s="36" t="s">
        <v>249</v>
      </c>
      <c r="B119" s="36" t="s">
        <v>248</v>
      </c>
      <c r="C119" s="36" t="s">
        <v>39</v>
      </c>
      <c r="D119" s="3" t="s">
        <v>38</v>
      </c>
      <c r="E119" s="2">
        <v>123</v>
      </c>
      <c r="F119" s="4">
        <v>0.91869920492172241</v>
      </c>
      <c r="G119" s="4">
        <v>0.99186992645263672</v>
      </c>
      <c r="H119" s="4">
        <v>0.82113820314407349</v>
      </c>
      <c r="I119" s="4">
        <v>0.9674796462059021</v>
      </c>
      <c r="J119" s="4">
        <v>0.99186992645263672</v>
      </c>
      <c r="K119" s="4">
        <v>0.99186992645263672</v>
      </c>
      <c r="L119" s="4">
        <v>0.74796748161315918</v>
      </c>
      <c r="N119" s="4" cm="1">
        <f t="array" aca="1" ref="N119" ca="1">INDEX(INDIRECT(trust_dq_table),(ROW()-ROW(INDIRECT(trust_dq_cols))),MATCH(selected_dq_name_xc,INDIRECT(trust_dq_cols),0))</f>
        <v>0.99186992645263672</v>
      </c>
      <c r="O119" s="49">
        <f t="shared" ca="1" si="3"/>
        <v>17</v>
      </c>
    </row>
    <row r="120" spans="1:15" x14ac:dyDescent="0.25">
      <c r="A120" s="36" t="s">
        <v>251</v>
      </c>
      <c r="B120" s="36" t="s">
        <v>250</v>
      </c>
      <c r="C120" s="36" t="s">
        <v>460</v>
      </c>
      <c r="D120" s="3" t="s">
        <v>37</v>
      </c>
      <c r="E120" s="2">
        <v>112</v>
      </c>
      <c r="F120" s="4">
        <v>0.71428573131561279</v>
      </c>
      <c r="G120" s="4">
        <v>0.67857140302658081</v>
      </c>
      <c r="H120" s="4">
        <v>0.47321429848670959</v>
      </c>
      <c r="I120" s="4">
        <v>0.9553571343421936</v>
      </c>
      <c r="J120" s="4">
        <v>0.8571428656578064</v>
      </c>
      <c r="K120" s="4">
        <v>0.8571428656578064</v>
      </c>
      <c r="L120" s="4">
        <v>0.55357140302658081</v>
      </c>
      <c r="N120" s="4" cm="1">
        <f t="array" aca="1" ref="N120" ca="1">INDEX(INDIRECT(trust_dq_table),(ROW()-ROW(INDIRECT(trust_dq_cols))),MATCH(selected_dq_name_xc,INDIRECT(trust_dq_cols),0))</f>
        <v>0.8571428656578064</v>
      </c>
      <c r="O120" s="49">
        <f t="shared" ca="1" si="3"/>
        <v>100</v>
      </c>
    </row>
    <row r="121" spans="1:15" x14ac:dyDescent="0.25">
      <c r="A121" s="36" t="s">
        <v>303</v>
      </c>
      <c r="B121" s="36" t="s">
        <v>252</v>
      </c>
      <c r="C121" s="36" t="s">
        <v>32</v>
      </c>
      <c r="D121" s="22" t="s">
        <v>31</v>
      </c>
      <c r="E121" s="2">
        <v>218</v>
      </c>
      <c r="F121" s="4">
        <v>0.77522933483123779</v>
      </c>
      <c r="G121" s="4">
        <v>0.71100914478302002</v>
      </c>
      <c r="H121" s="4">
        <v>0.8623853325843811</v>
      </c>
      <c r="I121" s="4">
        <v>0.96330273151397705</v>
      </c>
      <c r="J121" s="4">
        <v>0.97706419229507446</v>
      </c>
      <c r="K121" s="4">
        <v>0.93119263648986816</v>
      </c>
      <c r="L121" s="4">
        <v>0.46788990497589111</v>
      </c>
      <c r="N121" s="52" cm="1">
        <f t="array" aca="1" ref="N121" ca="1">INDEX(INDIRECT(trust_dq_table),(ROW()-ROW(INDIRECT(trust_dq_cols))),MATCH(selected_dq_name_xc,INDIRECT(trust_dq_cols),0))</f>
        <v>0.97706419229507446</v>
      </c>
      <c r="O121" s="49">
        <f t="shared" ca="1" si="3"/>
        <v>38</v>
      </c>
    </row>
  </sheetData>
  <sortState xmlns:xlrd2="http://schemas.microsoft.com/office/spreadsheetml/2017/richdata2" ref="A2:O121">
    <sortCondition ref="B2:B121"/>
  </sortState>
  <conditionalFormatting sqref="N1:N1048576">
    <cfRule type="top10" dxfId="9" priority="8" bottom="1" rank="1"/>
    <cfRule type="top10" dxfId="8" priority="9" rank="1"/>
  </conditionalFormatting>
  <conditionalFormatting sqref="O2:O121">
    <cfRule type="top10" dxfId="7" priority="87" rank="1"/>
    <cfRule type="top10" dxfId="6" priority="88" bottom="1" rank="1"/>
  </conditionalFormatting>
  <conditionalFormatting sqref="O122:O1048576 O1">
    <cfRule type="top10" dxfId="5" priority="4" rank="1"/>
    <cfRule type="top10" dxfId="4" priority="5" bottom="1" rank="1"/>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sheetPr>
  <dimension ref="A1:M21"/>
  <sheetViews>
    <sheetView workbookViewId="0">
      <selection activeCell="C23" sqref="C23"/>
    </sheetView>
  </sheetViews>
  <sheetFormatPr defaultRowHeight="15" x14ac:dyDescent="0.25"/>
  <cols>
    <col min="1" max="1" width="41.42578125" bestFit="1" customWidth="1"/>
    <col min="2" max="2" width="13.28515625" bestFit="1" customWidth="1"/>
    <col min="3" max="4" width="7" style="46" bestFit="1" customWidth="1"/>
    <col min="5" max="8" width="9.5703125" style="4" bestFit="1" customWidth="1"/>
    <col min="9" max="9" width="10.5703125" style="4" bestFit="1" customWidth="1"/>
    <col min="10" max="10" width="9.5703125" style="4" bestFit="1" customWidth="1"/>
    <col min="12" max="12" width="19.85546875" customWidth="1"/>
    <col min="13" max="13" width="18.85546875" customWidth="1"/>
  </cols>
  <sheetData>
    <row r="1" spans="1:13" x14ac:dyDescent="0.25">
      <c r="A1" t="s">
        <v>1</v>
      </c>
      <c r="B1" t="s">
        <v>0</v>
      </c>
      <c r="C1" s="54" t="s">
        <v>2</v>
      </c>
      <c r="D1" s="4" t="s">
        <v>267</v>
      </c>
      <c r="E1" s="4" t="s">
        <v>268</v>
      </c>
      <c r="F1" s="4" t="s">
        <v>269</v>
      </c>
      <c r="G1" s="4" t="s">
        <v>270</v>
      </c>
      <c r="H1" s="4" t="s">
        <v>271</v>
      </c>
      <c r="I1" s="4" t="s">
        <v>272</v>
      </c>
      <c r="J1" s="4" t="s">
        <v>565</v>
      </c>
      <c r="K1" t="s">
        <v>383</v>
      </c>
      <c r="L1" s="6" t="s">
        <v>280</v>
      </c>
      <c r="M1" s="6" t="s">
        <v>281</v>
      </c>
    </row>
    <row r="2" spans="1:13" x14ac:dyDescent="0.25">
      <c r="A2" s="3" t="s">
        <v>4</v>
      </c>
      <c r="B2" s="3" t="s">
        <v>3</v>
      </c>
      <c r="C2" s="2">
        <v>699</v>
      </c>
      <c r="D2" s="4">
        <v>0.87982833385467529</v>
      </c>
      <c r="E2" s="4">
        <v>0.88125896453857422</v>
      </c>
      <c r="F2" s="4">
        <v>0.87839770317077637</v>
      </c>
      <c r="G2" s="4">
        <v>0.93991416692733765</v>
      </c>
      <c r="H2" s="4">
        <v>0.90414875745773315</v>
      </c>
      <c r="I2" s="4">
        <v>0.96995705366134644</v>
      </c>
      <c r="J2" s="4">
        <v>0.60371959209442139</v>
      </c>
      <c r="L2" s="49" cm="1">
        <f t="array" aca="1" ref="L2" ca="1">INDEX(INDIRECT(alliance_dq_table),(ROW()-ROW(INDIRECT(alliance_dq_cols))),MATCH(selected_dq_name_xc,INDIRECT(alliance_dq_cols),0))</f>
        <v>0.90414875745773315</v>
      </c>
      <c r="M2" s="7">
        <f t="shared" ref="M2:M21" ca="1" si="0">RANK(L2,L:L,0)</f>
        <v>15</v>
      </c>
    </row>
    <row r="3" spans="1:13" x14ac:dyDescent="0.25">
      <c r="A3" s="3" t="s">
        <v>6</v>
      </c>
      <c r="B3" s="3" t="s">
        <v>5</v>
      </c>
      <c r="C3" s="2">
        <v>1009</v>
      </c>
      <c r="D3" s="4">
        <v>0.77006936073303223</v>
      </c>
      <c r="E3" s="4">
        <v>0.62338948249816895</v>
      </c>
      <c r="F3" s="4">
        <v>0.89197224378585815</v>
      </c>
      <c r="G3" s="4">
        <v>0.9345887303352356</v>
      </c>
      <c r="H3" s="4">
        <v>0.93657088279724121</v>
      </c>
      <c r="I3" s="4">
        <v>0.92071360349655151</v>
      </c>
      <c r="J3" s="4">
        <v>0.5004955530166626</v>
      </c>
      <c r="L3" s="4" cm="1">
        <f t="array" aca="1" ref="L3" ca="1">INDEX(INDIRECT(alliance_dq_table),(ROW()-ROW(INDIRECT(alliance_dq_cols))),MATCH(selected_dq_name_xc,INDIRECT(alliance_dq_cols),0))</f>
        <v>0.93657088279724121</v>
      </c>
      <c r="M3" s="7">
        <f t="shared" ca="1" si="0"/>
        <v>10</v>
      </c>
    </row>
    <row r="4" spans="1:13" x14ac:dyDescent="0.25">
      <c r="A4" s="3" t="s">
        <v>560</v>
      </c>
      <c r="B4" s="3"/>
      <c r="C4" s="2">
        <v>1363</v>
      </c>
      <c r="D4" s="4">
        <v>0.78576672077178955</v>
      </c>
      <c r="E4" s="4">
        <v>0.62876009941101074</v>
      </c>
      <c r="F4" s="4">
        <v>0.81144535541534424</v>
      </c>
      <c r="G4" s="4">
        <v>0.94057226181030273</v>
      </c>
      <c r="H4" s="4">
        <v>0.90755683183670044</v>
      </c>
      <c r="I4" s="4">
        <v>0.94864267110824585</v>
      </c>
      <c r="J4" s="4">
        <v>0.54585474729537964</v>
      </c>
      <c r="L4" s="51" cm="1">
        <f t="array" aca="1" ref="L4" ca="1">INDEX(INDIRECT(alliance_dq_table),(ROW()-ROW(INDIRECT(alliance_dq_cols))),MATCH(selected_dq_name_xc,INDIRECT(alliance_dq_cols),0))</f>
        <v>0.90755683183670044</v>
      </c>
      <c r="M4" s="7">
        <f t="shared" ca="1" si="0"/>
        <v>14</v>
      </c>
    </row>
    <row r="5" spans="1:13" x14ac:dyDescent="0.25">
      <c r="A5" s="3" t="s">
        <v>11</v>
      </c>
      <c r="B5" s="3" t="s">
        <v>10</v>
      </c>
      <c r="C5" s="2">
        <v>658</v>
      </c>
      <c r="D5" s="4">
        <v>0.78875380754470825</v>
      </c>
      <c r="E5" s="4">
        <v>0.86778116226196289</v>
      </c>
      <c r="F5" s="4">
        <v>0.72036474943161011</v>
      </c>
      <c r="G5" s="4">
        <v>0.94528877735137939</v>
      </c>
      <c r="H5" s="4">
        <v>0.80851066112518311</v>
      </c>
      <c r="I5" s="4">
        <v>0.97872340679168701</v>
      </c>
      <c r="J5" s="4">
        <v>0.5379939079284668</v>
      </c>
      <c r="L5" s="51" cm="1">
        <f t="array" aca="1" ref="L5" ca="1">INDEX(INDIRECT(alliance_dq_table),(ROW()-ROW(INDIRECT(alliance_dq_cols))),MATCH(selected_dq_name_xc,INDIRECT(alliance_dq_cols),0))</f>
        <v>0.80851066112518311</v>
      </c>
      <c r="M5" s="7">
        <f t="shared" ca="1" si="0"/>
        <v>16</v>
      </c>
    </row>
    <row r="6" spans="1:13" x14ac:dyDescent="0.25">
      <c r="A6" s="3" t="s">
        <v>467</v>
      </c>
      <c r="B6" s="3" t="s">
        <v>12</v>
      </c>
      <c r="C6" s="2">
        <v>416</v>
      </c>
      <c r="D6" s="4">
        <v>0.54326921701431274</v>
      </c>
      <c r="E6" s="4">
        <v>0.67307692766189575</v>
      </c>
      <c r="F6" s="4">
        <v>0.84375</v>
      </c>
      <c r="G6" s="4">
        <v>0.93028843402862549</v>
      </c>
      <c r="H6" s="4">
        <v>0.9663461446762085</v>
      </c>
      <c r="I6" s="4">
        <v>0.85096156597137451</v>
      </c>
      <c r="J6" s="4">
        <v>0.625</v>
      </c>
      <c r="L6" s="4" cm="1">
        <f t="array" aca="1" ref="L6" ca="1">INDEX(INDIRECT(alliance_dq_table),(ROW()-ROW(INDIRECT(alliance_dq_cols))),MATCH(selected_dq_name_xc,INDIRECT(alliance_dq_cols),0))</f>
        <v>0.9663461446762085</v>
      </c>
      <c r="M6" s="7">
        <f t="shared" ca="1" si="0"/>
        <v>3</v>
      </c>
    </row>
    <row r="7" spans="1:13" x14ac:dyDescent="0.25">
      <c r="A7" s="3" t="s">
        <v>15</v>
      </c>
      <c r="B7" s="3" t="s">
        <v>14</v>
      </c>
      <c r="C7" s="2">
        <v>399</v>
      </c>
      <c r="D7" s="4">
        <v>0.76190477609634399</v>
      </c>
      <c r="E7" s="4">
        <v>0.73934835195541382</v>
      </c>
      <c r="F7" s="4">
        <v>0.67919796705245972</v>
      </c>
      <c r="G7" s="4">
        <v>0.95989972352981567</v>
      </c>
      <c r="H7" s="4">
        <v>0.80701756477355957</v>
      </c>
      <c r="I7" s="4">
        <v>0.89974939823150635</v>
      </c>
      <c r="J7" s="4">
        <v>0.64912283420562744</v>
      </c>
      <c r="L7" s="51" cm="1">
        <f t="array" aca="1" ref="L7" ca="1">INDEX(INDIRECT(alliance_dq_table),(ROW()-ROW(INDIRECT(alliance_dq_cols))),MATCH(selected_dq_name_xc,INDIRECT(alliance_dq_cols),0))</f>
        <v>0.80701756477355957</v>
      </c>
      <c r="M7" s="7">
        <f t="shared" ca="1" si="0"/>
        <v>17</v>
      </c>
    </row>
    <row r="8" spans="1:13" x14ac:dyDescent="0.25">
      <c r="A8" s="3" t="s">
        <v>17</v>
      </c>
      <c r="B8" s="3" t="s">
        <v>16</v>
      </c>
      <c r="C8" s="2">
        <v>388</v>
      </c>
      <c r="D8" s="4">
        <v>0.86340206861495972</v>
      </c>
      <c r="E8" s="4">
        <v>0.89690721035003662</v>
      </c>
      <c r="F8" s="4">
        <v>0.92010307312011719</v>
      </c>
      <c r="G8" s="4">
        <v>0.93298971652984619</v>
      </c>
      <c r="H8" s="4">
        <v>0.96907216310501099</v>
      </c>
      <c r="I8" s="4">
        <v>0.93556702136993408</v>
      </c>
      <c r="J8" s="4">
        <v>0.77061855792999268</v>
      </c>
      <c r="L8" s="4" cm="1">
        <f t="array" aca="1" ref="L8" ca="1">INDEX(INDIRECT(alliance_dq_table),(ROW()-ROW(INDIRECT(alliance_dq_cols))),MATCH(selected_dq_name_xc,INDIRECT(alliance_dq_cols),0))</f>
        <v>0.96907216310501099</v>
      </c>
      <c r="M8" s="7">
        <f t="shared" ca="1" si="0"/>
        <v>2</v>
      </c>
    </row>
    <row r="9" spans="1:13" x14ac:dyDescent="0.25">
      <c r="A9" s="3" t="s">
        <v>19</v>
      </c>
      <c r="B9" s="3" t="s">
        <v>18</v>
      </c>
      <c r="C9" s="2">
        <v>238</v>
      </c>
      <c r="D9" s="4">
        <v>0.71848738193511963</v>
      </c>
      <c r="E9" s="4">
        <v>0.65546220541000366</v>
      </c>
      <c r="F9" s="4">
        <v>0.66806721687316895</v>
      </c>
      <c r="G9" s="4">
        <v>0.9621848464012146</v>
      </c>
      <c r="H9" s="4">
        <v>0.73529410362243652</v>
      </c>
      <c r="I9" s="4">
        <v>0.93277311325073242</v>
      </c>
      <c r="J9" s="4">
        <v>0.6428571343421936</v>
      </c>
      <c r="L9" s="51" cm="1">
        <f t="array" aca="1" ref="L9" ca="1">INDEX(INDIRECT(alliance_dq_table),(ROW()-ROW(INDIRECT(alliance_dq_cols))),MATCH(selected_dq_name_xc,INDIRECT(alliance_dq_cols),0))</f>
        <v>0.73529410362243652</v>
      </c>
      <c r="M9" s="7">
        <f t="shared" ca="1" si="0"/>
        <v>19</v>
      </c>
    </row>
    <row r="10" spans="1:13" x14ac:dyDescent="0.25">
      <c r="A10" s="3" t="s">
        <v>21</v>
      </c>
      <c r="B10" s="3" t="s">
        <v>20</v>
      </c>
      <c r="C10" s="2">
        <v>250</v>
      </c>
      <c r="D10" s="4">
        <v>0.68000000715255737</v>
      </c>
      <c r="E10" s="4">
        <v>0.30799999833106989</v>
      </c>
      <c r="F10" s="4">
        <v>0.56000000238418579</v>
      </c>
      <c r="G10" s="4">
        <v>0.93199998140335083</v>
      </c>
      <c r="H10" s="4">
        <v>0.80400002002716064</v>
      </c>
      <c r="I10" s="4">
        <v>0.98000001907348633</v>
      </c>
      <c r="J10" s="4">
        <v>0.164000004529953</v>
      </c>
      <c r="L10" s="4" cm="1">
        <f t="array" aca="1" ref="L10" ca="1">INDEX(INDIRECT(alliance_dq_table),(ROW()-ROW(INDIRECT(alliance_dq_cols))),MATCH(selected_dq_name_xc,INDIRECT(alliance_dq_cols),0))</f>
        <v>0.80400002002716064</v>
      </c>
      <c r="M10" s="7">
        <f t="shared" ca="1" si="0"/>
        <v>18</v>
      </c>
    </row>
    <row r="11" spans="1:13" x14ac:dyDescent="0.25">
      <c r="A11" s="3" t="s">
        <v>23</v>
      </c>
      <c r="B11" s="3" t="s">
        <v>22</v>
      </c>
      <c r="C11" s="2">
        <v>844</v>
      </c>
      <c r="D11" s="4">
        <v>0.69431281089782715</v>
      </c>
      <c r="E11" s="4">
        <v>0.81990522146224976</v>
      </c>
      <c r="F11" s="4">
        <v>0.88507109880447388</v>
      </c>
      <c r="G11" s="4">
        <v>0.95853078365325928</v>
      </c>
      <c r="H11" s="4">
        <v>0.9763033390045166</v>
      </c>
      <c r="I11" s="4">
        <v>0.95971566438674927</v>
      </c>
      <c r="J11" s="4">
        <v>0.5142180323600769</v>
      </c>
      <c r="L11" s="51" cm="1">
        <f t="array" aca="1" ref="L11" ca="1">INDEX(INDIRECT(alliance_dq_table),(ROW()-ROW(INDIRECT(alliance_dq_cols))),MATCH(selected_dq_name_xc,INDIRECT(alliance_dq_cols),0))</f>
        <v>0.9763033390045166</v>
      </c>
      <c r="M11" s="7">
        <f t="shared" ca="1" si="0"/>
        <v>1</v>
      </c>
    </row>
    <row r="12" spans="1:13" x14ac:dyDescent="0.25">
      <c r="A12" s="3" t="s">
        <v>58</v>
      </c>
      <c r="B12" s="3" t="s">
        <v>24</v>
      </c>
      <c r="C12" s="2">
        <v>449</v>
      </c>
      <c r="D12" s="4">
        <v>0.69265031814575195</v>
      </c>
      <c r="E12" s="4">
        <v>0.63251668214797974</v>
      </c>
      <c r="F12" s="4">
        <v>0.86859691143035889</v>
      </c>
      <c r="G12" s="4">
        <v>0.9153674840927124</v>
      </c>
      <c r="H12" s="4">
        <v>0.94654786586761475</v>
      </c>
      <c r="I12" s="4">
        <v>0.98663699626922607</v>
      </c>
      <c r="J12" s="4">
        <v>0.48997771739959722</v>
      </c>
      <c r="L12" s="4" cm="1">
        <f t="array" aca="1" ref="L12" ca="1">INDEX(INDIRECT(alliance_dq_table),(ROW()-ROW(INDIRECT(alliance_dq_cols))),MATCH(selected_dq_name_xc,INDIRECT(alliance_dq_cols),0))</f>
        <v>0.94654786586761475</v>
      </c>
      <c r="M12" s="7">
        <f t="shared" ca="1" si="0"/>
        <v>9</v>
      </c>
    </row>
    <row r="13" spans="1:13" x14ac:dyDescent="0.25">
      <c r="A13" s="3" t="s">
        <v>460</v>
      </c>
      <c r="B13" s="3" t="s">
        <v>37</v>
      </c>
      <c r="C13" s="2">
        <v>541</v>
      </c>
      <c r="D13" s="4">
        <v>0.75231051445007324</v>
      </c>
      <c r="E13" s="4">
        <v>0.69131237268447876</v>
      </c>
      <c r="F13" s="4">
        <v>0.63770794868469238</v>
      </c>
      <c r="G13" s="4">
        <v>0.89463955163955688</v>
      </c>
      <c r="H13" s="4">
        <v>0.92051756381988525</v>
      </c>
      <c r="I13" s="4">
        <v>0.92791128158569336</v>
      </c>
      <c r="J13" s="4">
        <v>0.49907580018043518</v>
      </c>
      <c r="L13" s="51" cm="1">
        <f t="array" aca="1" ref="L13" ca="1">INDEX(INDIRECT(alliance_dq_table),(ROW()-ROW(INDIRECT(alliance_dq_cols))),MATCH(selected_dq_name_xc,INDIRECT(alliance_dq_cols),0))</f>
        <v>0.92051756381988525</v>
      </c>
      <c r="M13" s="7">
        <f t="shared" ca="1" si="0"/>
        <v>12</v>
      </c>
    </row>
    <row r="14" spans="1:13" x14ac:dyDescent="0.25">
      <c r="A14" s="3" t="s">
        <v>464</v>
      </c>
      <c r="B14" s="3" t="s">
        <v>25</v>
      </c>
      <c r="C14" s="2">
        <v>608</v>
      </c>
      <c r="D14" s="4">
        <v>0.77960526943206787</v>
      </c>
      <c r="E14" s="4">
        <v>0.59375</v>
      </c>
      <c r="F14" s="4">
        <v>0.65953946113586426</v>
      </c>
      <c r="G14" s="4">
        <v>0.93092107772827148</v>
      </c>
      <c r="H14" s="4">
        <v>0.91447371244430542</v>
      </c>
      <c r="I14" s="4">
        <v>0.88980263471603394</v>
      </c>
      <c r="J14" s="4">
        <v>0.51809209585189819</v>
      </c>
      <c r="L14" s="4" cm="1">
        <f t="array" aca="1" ref="L14" ca="1">INDEX(INDIRECT(alliance_dq_table),(ROW()-ROW(INDIRECT(alliance_dq_cols))),MATCH(selected_dq_name_xc,INDIRECT(alliance_dq_cols),0))</f>
        <v>0.91447371244430542</v>
      </c>
      <c r="M14" s="7">
        <f t="shared" ca="1" si="0"/>
        <v>13</v>
      </c>
    </row>
    <row r="15" spans="1:13" x14ac:dyDescent="0.25">
      <c r="A15" s="3" t="s">
        <v>28</v>
      </c>
      <c r="B15" s="3" t="s">
        <v>27</v>
      </c>
      <c r="C15" s="2">
        <v>241</v>
      </c>
      <c r="D15" s="4">
        <v>0.73858922719955444</v>
      </c>
      <c r="E15" s="4">
        <v>0.56016600131988525</v>
      </c>
      <c r="F15" s="4">
        <v>0.52697098255157471</v>
      </c>
      <c r="G15" s="4">
        <v>0.94190871715545654</v>
      </c>
      <c r="H15" s="4">
        <v>0.58921164274215698</v>
      </c>
      <c r="I15" s="4">
        <v>0.91286307573318481</v>
      </c>
      <c r="J15" s="4">
        <v>0.46887966990470892</v>
      </c>
      <c r="L15" s="51" cm="1">
        <f t="array" aca="1" ref="L15" ca="1">INDEX(INDIRECT(alliance_dq_table),(ROW()-ROW(INDIRECT(alliance_dq_cols))),MATCH(selected_dq_name_xc,INDIRECT(alliance_dq_cols),0))</f>
        <v>0.58921164274215698</v>
      </c>
      <c r="M15" s="7">
        <f t="shared" ca="1" si="0"/>
        <v>20</v>
      </c>
    </row>
    <row r="16" spans="1:13" x14ac:dyDescent="0.25">
      <c r="A16" s="3" t="s">
        <v>30</v>
      </c>
      <c r="B16" s="3" t="s">
        <v>29</v>
      </c>
      <c r="C16" s="2">
        <v>430</v>
      </c>
      <c r="D16" s="4">
        <v>0.70930230617523193</v>
      </c>
      <c r="E16" s="4">
        <v>0.88139533996582031</v>
      </c>
      <c r="F16" s="4">
        <v>0.86279070377349854</v>
      </c>
      <c r="G16" s="4">
        <v>0.934883713722229</v>
      </c>
      <c r="H16" s="4">
        <v>0.95116281509399414</v>
      </c>
      <c r="I16" s="4">
        <v>0.95116281509399414</v>
      </c>
      <c r="J16" s="4">
        <v>0.61395347118377686</v>
      </c>
      <c r="L16" s="4" cm="1">
        <f t="array" aca="1" ref="L16" ca="1">INDEX(INDIRECT(alliance_dq_table),(ROW()-ROW(INDIRECT(alliance_dq_cols))),MATCH(selected_dq_name_xc,INDIRECT(alliance_dq_cols),0))</f>
        <v>0.95116281509399414</v>
      </c>
      <c r="M16" s="7">
        <f t="shared" ca="1" si="0"/>
        <v>8</v>
      </c>
    </row>
    <row r="17" spans="1:13" x14ac:dyDescent="0.25">
      <c r="A17" s="3" t="s">
        <v>32</v>
      </c>
      <c r="B17" s="3" t="s">
        <v>31</v>
      </c>
      <c r="C17" s="2">
        <v>700</v>
      </c>
      <c r="D17" s="4">
        <v>0.80142855644226074</v>
      </c>
      <c r="E17" s="4">
        <v>0.73714286088943481</v>
      </c>
      <c r="F17" s="4">
        <v>0.80142855644226074</v>
      </c>
      <c r="G17" s="4">
        <v>0.9471428394317627</v>
      </c>
      <c r="H17" s="4">
        <v>0.92142856121063232</v>
      </c>
      <c r="I17" s="4">
        <v>0.90857142210006714</v>
      </c>
      <c r="J17" s="4">
        <v>0.5528571605682373</v>
      </c>
      <c r="L17" s="51" cm="1">
        <f t="array" aca="1" ref="L17" ca="1">INDEX(INDIRECT(alliance_dq_table),(ROW()-ROW(INDIRECT(alliance_dq_cols))),MATCH(selected_dq_name_xc,INDIRECT(alliance_dq_cols),0))</f>
        <v>0.92142856121063232</v>
      </c>
      <c r="M17" s="7">
        <f t="shared" ca="1" si="0"/>
        <v>11</v>
      </c>
    </row>
    <row r="18" spans="1:13" x14ac:dyDescent="0.25">
      <c r="A18" s="3" t="s">
        <v>34</v>
      </c>
      <c r="B18" s="3" t="s">
        <v>33</v>
      </c>
      <c r="C18" s="2">
        <v>417</v>
      </c>
      <c r="D18" s="4">
        <v>0.69064748287200928</v>
      </c>
      <c r="E18" s="4">
        <v>0.75059950351715088</v>
      </c>
      <c r="F18" s="4">
        <v>0.93285369873046875</v>
      </c>
      <c r="G18" s="4">
        <v>0.93285369873046875</v>
      </c>
      <c r="H18" s="4">
        <v>0.95203834772109985</v>
      </c>
      <c r="I18" s="4">
        <v>0.89688247442245483</v>
      </c>
      <c r="J18" s="4">
        <v>0.71942448616027832</v>
      </c>
      <c r="L18" s="4" cm="1">
        <f t="array" aca="1" ref="L18" ca="1">INDEX(INDIRECT(alliance_dq_table),(ROW()-ROW(INDIRECT(alliance_dq_cols))),MATCH(selected_dq_name_xc,INDIRECT(alliance_dq_cols),0))</f>
        <v>0.95203834772109985</v>
      </c>
      <c r="M18" s="7">
        <f t="shared" ca="1" si="0"/>
        <v>6</v>
      </c>
    </row>
    <row r="19" spans="1:13" x14ac:dyDescent="0.25">
      <c r="A19" s="3" t="s">
        <v>36</v>
      </c>
      <c r="B19" s="3" t="s">
        <v>35</v>
      </c>
      <c r="C19" s="2">
        <v>586</v>
      </c>
      <c r="D19" s="4">
        <v>0.87372010946273804</v>
      </c>
      <c r="E19" s="4">
        <v>0.89761090278625488</v>
      </c>
      <c r="F19" s="4">
        <v>0.89419794082641602</v>
      </c>
      <c r="G19" s="4">
        <v>0.93515360355377197</v>
      </c>
      <c r="H19" s="4">
        <v>0.96245735883712769</v>
      </c>
      <c r="I19" s="4">
        <v>0.88054609298706055</v>
      </c>
      <c r="J19" s="4">
        <v>0.61945390701293945</v>
      </c>
      <c r="L19" s="51" cm="1">
        <f t="array" aca="1" ref="L19" ca="1">INDEX(INDIRECT(alliance_dq_table),(ROW()-ROW(INDIRECT(alliance_dq_cols))),MATCH(selected_dq_name_xc,INDIRECT(alliance_dq_cols),0))</f>
        <v>0.96245735883712769</v>
      </c>
      <c r="M19" s="7">
        <f t="shared" ca="1" si="0"/>
        <v>4</v>
      </c>
    </row>
    <row r="20" spans="1:13" x14ac:dyDescent="0.25">
      <c r="A20" s="3" t="s">
        <v>39</v>
      </c>
      <c r="B20" s="3" t="s">
        <v>38</v>
      </c>
      <c r="C20" s="2">
        <v>1370</v>
      </c>
      <c r="D20" s="4">
        <v>0.84014600515365601</v>
      </c>
      <c r="E20" s="4">
        <v>0.89270073175430298</v>
      </c>
      <c r="F20" s="4">
        <v>0.85182482004165649</v>
      </c>
      <c r="G20" s="4">
        <v>0.93941605091094971</v>
      </c>
      <c r="H20" s="4">
        <v>0.9518248438835144</v>
      </c>
      <c r="I20" s="4">
        <v>0.93868613243103027</v>
      </c>
      <c r="J20" s="4">
        <v>0.72700726985931396</v>
      </c>
      <c r="L20" s="4" cm="1">
        <f t="array" aca="1" ref="L20" ca="1">INDEX(INDIRECT(alliance_dq_table),(ROW()-ROW(INDIRECT(alliance_dq_cols))),MATCH(selected_dq_name_xc,INDIRECT(alliance_dq_cols),0))</f>
        <v>0.9518248438835144</v>
      </c>
      <c r="M20" s="7">
        <f t="shared" ca="1" si="0"/>
        <v>7</v>
      </c>
    </row>
    <row r="21" spans="1:13" x14ac:dyDescent="0.25">
      <c r="A21" s="3" t="s">
        <v>41</v>
      </c>
      <c r="B21" s="3" t="s">
        <v>40</v>
      </c>
      <c r="C21" s="2">
        <v>567</v>
      </c>
      <c r="D21" s="4">
        <v>0.72310405969619751</v>
      </c>
      <c r="E21" s="4">
        <v>0.6261022686958313</v>
      </c>
      <c r="F21" s="4">
        <v>0.94708997011184692</v>
      </c>
      <c r="G21" s="4">
        <v>0.90652555227279663</v>
      </c>
      <c r="H21" s="4">
        <v>0.95590829849243164</v>
      </c>
      <c r="I21" s="4">
        <v>0.97178131341934204</v>
      </c>
      <c r="J21" s="4">
        <v>0.73192238807678223</v>
      </c>
      <c r="L21" s="50" cm="1">
        <f t="array" aca="1" ref="L21" ca="1">INDEX(INDIRECT(alliance_dq_table),(ROW()-ROW(INDIRECT(alliance_dq_cols))),MATCH(selected_dq_name_xc,INDIRECT(alliance_dq_cols),0))</f>
        <v>0.95590829849243164</v>
      </c>
      <c r="M21" s="7">
        <f t="shared" ca="1" si="0"/>
        <v>5</v>
      </c>
    </row>
  </sheetData>
  <sortState xmlns:xlrd2="http://schemas.microsoft.com/office/spreadsheetml/2017/richdata2" ref="A2:M21">
    <sortCondition ref="A2:A21"/>
  </sortState>
  <conditionalFormatting sqref="L2:L21">
    <cfRule type="top10" dxfId="3" priority="89" bottom="1" rank="1"/>
    <cfRule type="top10" dxfId="2" priority="90" rank="1"/>
  </conditionalFormatting>
  <conditionalFormatting sqref="M2:M21">
    <cfRule type="top10" dxfId="1" priority="93" bottom="1" rank="1"/>
    <cfRule type="top10" dxfId="0" priority="94" rank="1"/>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79998168889431442"/>
  </sheetPr>
  <dimension ref="A1:L4"/>
  <sheetViews>
    <sheetView workbookViewId="0">
      <selection activeCell="G7" sqref="G7"/>
    </sheetView>
  </sheetViews>
  <sheetFormatPr defaultRowHeight="15" x14ac:dyDescent="0.25"/>
  <cols>
    <col min="1" max="1" width="12.5703125" bestFit="1" customWidth="1"/>
    <col min="2" max="2" width="11.140625" style="45" bestFit="1" customWidth="1"/>
    <col min="3" max="3" width="11.140625" style="45" customWidth="1"/>
    <col min="4" max="4" width="10" customWidth="1"/>
    <col min="5" max="5" width="9.7109375" bestFit="1" customWidth="1"/>
    <col min="6" max="6" width="11.140625" customWidth="1"/>
    <col min="7" max="7" width="9.7109375" customWidth="1"/>
    <col min="8" max="9" width="9.7109375" bestFit="1" customWidth="1"/>
    <col min="10" max="10" width="8.28515625" customWidth="1"/>
    <col min="11" max="11" width="19.85546875" customWidth="1"/>
    <col min="12" max="12" width="18.85546875" customWidth="1"/>
  </cols>
  <sheetData>
    <row r="1" spans="1:12" x14ac:dyDescent="0.25">
      <c r="A1" s="17" t="s">
        <v>254</v>
      </c>
      <c r="B1" s="47" t="s">
        <v>2</v>
      </c>
      <c r="C1" s="17" t="s">
        <v>267</v>
      </c>
      <c r="D1" s="17" t="s">
        <v>268</v>
      </c>
      <c r="E1" s="17" t="s">
        <v>269</v>
      </c>
      <c r="F1" s="17" t="s">
        <v>270</v>
      </c>
      <c r="G1" s="17" t="s">
        <v>271</v>
      </c>
      <c r="H1" s="17" t="s">
        <v>272</v>
      </c>
      <c r="I1" s="17" t="s">
        <v>565</v>
      </c>
      <c r="J1" t="s">
        <v>383</v>
      </c>
      <c r="K1" s="6" t="s">
        <v>280</v>
      </c>
      <c r="L1" s="6" t="s">
        <v>281</v>
      </c>
    </row>
    <row r="2" spans="1:12" x14ac:dyDescent="0.25">
      <c r="A2" s="17" t="s">
        <v>273</v>
      </c>
      <c r="B2" s="2">
        <v>12173</v>
      </c>
      <c r="C2" s="4">
        <v>0.76981842517852783</v>
      </c>
      <c r="D2" s="4">
        <v>0.73827320337295532</v>
      </c>
      <c r="E2" s="4">
        <v>0.81582188606262207</v>
      </c>
      <c r="F2" s="4">
        <v>0.93633449077606201</v>
      </c>
      <c r="G2" s="4">
        <v>0.9141542911529541</v>
      </c>
      <c r="H2" s="4">
        <v>0.9344450831413269</v>
      </c>
      <c r="I2" s="4">
        <v>0.58440810441970825</v>
      </c>
      <c r="K2" s="16" cm="1">
        <f t="array" aca="1" ref="K2" ca="1">INDEX(national_data_quality!$A$1:$H$2,(ROW()*ROW(national_data_quality!$A$1:$H$1)),MATCH(selected_dq_name_xc,national_data_quality!$A$1:$H$1,0))</f>
        <v>0.9141542911529541</v>
      </c>
      <c r="L2" s="15" t="s">
        <v>255</v>
      </c>
    </row>
    <row r="3" spans="1:12" x14ac:dyDescent="0.25">
      <c r="B3" s="137"/>
      <c r="C3" s="137"/>
      <c r="D3" s="138"/>
      <c r="E3" s="138"/>
      <c r="F3" s="138"/>
      <c r="G3" s="138"/>
      <c r="H3" s="138"/>
      <c r="I3" s="138"/>
    </row>
    <row r="4" spans="1:12" x14ac:dyDescent="0.25">
      <c r="A4" s="2"/>
      <c r="D4" s="2"/>
      <c r="E4" s="2"/>
      <c r="F4" s="2"/>
      <c r="I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79998168889431442"/>
  </sheetPr>
  <dimension ref="A1:O121"/>
  <sheetViews>
    <sheetView workbookViewId="0">
      <selection activeCell="Q13" sqref="Q13"/>
    </sheetView>
  </sheetViews>
  <sheetFormatPr defaultRowHeight="15" x14ac:dyDescent="0.25"/>
  <cols>
    <col min="1" max="1" width="12.5703125" bestFit="1" customWidth="1"/>
    <col min="2" max="2" width="59" bestFit="1" customWidth="1"/>
    <col min="3" max="4" width="13.28515625" customWidth="1"/>
  </cols>
  <sheetData>
    <row r="1" spans="1:15" x14ac:dyDescent="0.25">
      <c r="A1" s="19" t="s">
        <v>42</v>
      </c>
      <c r="B1" s="19" t="s">
        <v>43</v>
      </c>
      <c r="C1" t="s">
        <v>419</v>
      </c>
      <c r="D1" t="s">
        <v>420</v>
      </c>
      <c r="E1" t="s">
        <v>421</v>
      </c>
      <c r="F1" t="s">
        <v>422</v>
      </c>
      <c r="G1" t="s">
        <v>423</v>
      </c>
      <c r="H1" t="s">
        <v>424</v>
      </c>
      <c r="K1" t="s">
        <v>301</v>
      </c>
      <c r="L1" t="s">
        <v>298</v>
      </c>
      <c r="M1" t="s">
        <v>299</v>
      </c>
      <c r="N1" t="s">
        <v>300</v>
      </c>
      <c r="O1" t="s">
        <v>297</v>
      </c>
    </row>
    <row r="2" spans="1:15" x14ac:dyDescent="0.25">
      <c r="A2" s="36" t="s">
        <v>44</v>
      </c>
      <c r="B2" s="36" t="s">
        <v>45</v>
      </c>
      <c r="C2" s="2">
        <v>67</v>
      </c>
      <c r="D2" s="2">
        <v>33</v>
      </c>
      <c r="E2" s="2">
        <v>19</v>
      </c>
      <c r="F2" s="2">
        <v>23</v>
      </c>
      <c r="G2" s="2">
        <v>30</v>
      </c>
      <c r="H2" s="2">
        <v>28</v>
      </c>
      <c r="J2" s="2"/>
      <c r="K2" s="2">
        <v>37</v>
      </c>
      <c r="L2" s="2">
        <v>20</v>
      </c>
      <c r="M2" s="2">
        <v>12</v>
      </c>
      <c r="N2" s="2">
        <v>14</v>
      </c>
      <c r="O2" s="2">
        <v>17</v>
      </c>
    </row>
    <row r="3" spans="1:15" x14ac:dyDescent="0.25">
      <c r="A3" s="36" t="s">
        <v>46</v>
      </c>
      <c r="B3" s="36" t="s">
        <v>47</v>
      </c>
      <c r="C3" s="2">
        <v>67</v>
      </c>
      <c r="D3" s="2">
        <v>33</v>
      </c>
      <c r="E3" s="2">
        <v>11</v>
      </c>
      <c r="F3" s="2">
        <v>25</v>
      </c>
      <c r="G3" s="2">
        <v>38</v>
      </c>
      <c r="H3" s="2">
        <v>26</v>
      </c>
      <c r="J3" s="2"/>
      <c r="K3" s="2">
        <v>45</v>
      </c>
      <c r="L3" s="2">
        <v>24</v>
      </c>
      <c r="M3" s="2">
        <v>15</v>
      </c>
      <c r="N3" s="2">
        <v>13</v>
      </c>
      <c r="O3" s="2">
        <v>3</v>
      </c>
    </row>
    <row r="4" spans="1:15" x14ac:dyDescent="0.25">
      <c r="A4" s="36" t="s">
        <v>48</v>
      </c>
      <c r="B4" s="36" t="s">
        <v>49</v>
      </c>
      <c r="C4" s="2">
        <v>66</v>
      </c>
      <c r="D4" s="2">
        <v>34</v>
      </c>
      <c r="E4" s="2">
        <v>17</v>
      </c>
      <c r="F4" s="2">
        <v>20</v>
      </c>
      <c r="G4" s="2">
        <v>33</v>
      </c>
      <c r="H4" s="2">
        <v>29</v>
      </c>
      <c r="J4" s="2"/>
      <c r="K4" s="2">
        <v>6</v>
      </c>
      <c r="L4" s="2">
        <v>11</v>
      </c>
      <c r="M4" s="2">
        <v>21</v>
      </c>
      <c r="N4" s="2">
        <v>30</v>
      </c>
      <c r="O4" s="2">
        <v>32</v>
      </c>
    </row>
    <row r="5" spans="1:15" x14ac:dyDescent="0.25">
      <c r="A5" s="36" t="s">
        <v>50</v>
      </c>
      <c r="B5" s="36" t="s">
        <v>468</v>
      </c>
      <c r="C5" s="2">
        <v>73</v>
      </c>
      <c r="D5" s="2">
        <v>27</v>
      </c>
      <c r="E5" s="2">
        <v>10</v>
      </c>
      <c r="F5" s="2">
        <v>22</v>
      </c>
      <c r="G5" s="2">
        <v>37</v>
      </c>
      <c r="H5" s="2">
        <v>32</v>
      </c>
      <c r="J5" s="2"/>
      <c r="K5" s="2">
        <v>14</v>
      </c>
      <c r="L5" s="2">
        <v>32</v>
      </c>
      <c r="M5" s="2">
        <v>32</v>
      </c>
      <c r="N5" s="2">
        <v>16</v>
      </c>
      <c r="O5" s="2">
        <v>6</v>
      </c>
    </row>
    <row r="6" spans="1:15" x14ac:dyDescent="0.25">
      <c r="A6" s="36" t="s">
        <v>51</v>
      </c>
      <c r="B6" s="36" t="s">
        <v>52</v>
      </c>
      <c r="C6" s="2">
        <v>58</v>
      </c>
      <c r="D6" s="2">
        <v>42</v>
      </c>
      <c r="E6" s="2">
        <v>26</v>
      </c>
      <c r="F6" s="2">
        <v>28</v>
      </c>
      <c r="G6" s="2">
        <v>22</v>
      </c>
      <c r="H6" s="2">
        <v>25</v>
      </c>
      <c r="J6" s="2"/>
      <c r="K6" s="2">
        <v>21</v>
      </c>
      <c r="L6" s="2">
        <v>51</v>
      </c>
      <c r="M6" s="2">
        <v>17</v>
      </c>
      <c r="N6" s="2">
        <v>8</v>
      </c>
      <c r="O6" s="2">
        <v>4</v>
      </c>
    </row>
    <row r="7" spans="1:15" x14ac:dyDescent="0.25">
      <c r="A7" s="36" t="s">
        <v>53</v>
      </c>
      <c r="B7" s="36" t="s">
        <v>469</v>
      </c>
      <c r="C7" s="2">
        <v>67</v>
      </c>
      <c r="D7" s="2">
        <v>33</v>
      </c>
      <c r="E7" s="2">
        <v>15</v>
      </c>
      <c r="F7" s="2">
        <v>22</v>
      </c>
      <c r="G7" s="2">
        <v>27</v>
      </c>
      <c r="H7" s="2">
        <v>36</v>
      </c>
      <c r="J7" s="2"/>
      <c r="K7" s="2">
        <v>15</v>
      </c>
      <c r="L7" s="2">
        <v>23</v>
      </c>
      <c r="M7" s="2">
        <v>35</v>
      </c>
      <c r="N7" s="2">
        <v>18</v>
      </c>
      <c r="O7" s="2">
        <v>10</v>
      </c>
    </row>
    <row r="8" spans="1:15" x14ac:dyDescent="0.25">
      <c r="A8" s="36" t="s">
        <v>54</v>
      </c>
      <c r="B8" s="36" t="s">
        <v>55</v>
      </c>
      <c r="C8" s="2">
        <v>76</v>
      </c>
      <c r="D8" s="2">
        <v>24</v>
      </c>
      <c r="E8" s="2">
        <v>11</v>
      </c>
      <c r="F8" s="2">
        <v>26</v>
      </c>
      <c r="G8" s="2">
        <v>33</v>
      </c>
      <c r="H8" s="2">
        <v>31</v>
      </c>
      <c r="J8" s="2"/>
      <c r="K8" s="2">
        <v>1</v>
      </c>
      <c r="L8" s="2">
        <v>6</v>
      </c>
      <c r="M8" s="2">
        <v>13</v>
      </c>
      <c r="N8" s="2">
        <v>22</v>
      </c>
      <c r="O8" s="2">
        <v>58</v>
      </c>
    </row>
    <row r="9" spans="1:15" x14ac:dyDescent="0.25">
      <c r="A9" s="36" t="s">
        <v>56</v>
      </c>
      <c r="B9" s="36" t="s">
        <v>57</v>
      </c>
      <c r="C9" s="2">
        <v>68</v>
      </c>
      <c r="D9" s="2">
        <v>32</v>
      </c>
      <c r="E9" s="2">
        <v>18</v>
      </c>
      <c r="F9" s="2">
        <v>27</v>
      </c>
      <c r="G9" s="2">
        <v>27</v>
      </c>
      <c r="H9" s="2">
        <v>28</v>
      </c>
      <c r="J9" s="2"/>
      <c r="K9" s="2">
        <v>22</v>
      </c>
      <c r="L9" s="2">
        <v>21</v>
      </c>
      <c r="M9" s="2">
        <v>20</v>
      </c>
      <c r="N9" s="2">
        <v>24</v>
      </c>
      <c r="O9" s="2">
        <v>13</v>
      </c>
    </row>
    <row r="10" spans="1:15" x14ac:dyDescent="0.25">
      <c r="A10" s="36" t="s">
        <v>59</v>
      </c>
      <c r="B10" s="36" t="s">
        <v>60</v>
      </c>
      <c r="C10" s="2">
        <v>73</v>
      </c>
      <c r="D10" s="2">
        <v>27</v>
      </c>
      <c r="E10" s="2">
        <v>9</v>
      </c>
      <c r="F10" s="2">
        <v>22</v>
      </c>
      <c r="G10" s="2">
        <v>39</v>
      </c>
      <c r="H10" s="2">
        <v>30</v>
      </c>
      <c r="J10" s="2"/>
      <c r="K10" s="2">
        <v>18</v>
      </c>
      <c r="L10" s="2">
        <v>25</v>
      </c>
      <c r="M10" s="2">
        <v>23</v>
      </c>
      <c r="N10" s="2">
        <v>23</v>
      </c>
      <c r="O10" s="2">
        <v>10</v>
      </c>
    </row>
    <row r="11" spans="1:15" x14ac:dyDescent="0.25">
      <c r="A11" s="36" t="s">
        <v>61</v>
      </c>
      <c r="B11" s="36" t="s">
        <v>62</v>
      </c>
      <c r="C11" s="2">
        <v>73</v>
      </c>
      <c r="D11" s="2">
        <v>27</v>
      </c>
      <c r="E11" s="2">
        <v>17</v>
      </c>
      <c r="F11" s="2">
        <v>25</v>
      </c>
      <c r="G11" s="2">
        <v>36</v>
      </c>
      <c r="H11" s="2">
        <v>22</v>
      </c>
      <c r="J11" s="2"/>
      <c r="K11" s="2">
        <v>40</v>
      </c>
      <c r="L11" s="2">
        <v>24</v>
      </c>
      <c r="M11" s="2">
        <v>16</v>
      </c>
      <c r="N11" s="2">
        <v>10</v>
      </c>
      <c r="O11" s="2">
        <v>11</v>
      </c>
    </row>
    <row r="12" spans="1:15" x14ac:dyDescent="0.25">
      <c r="A12" s="36" t="s">
        <v>63</v>
      </c>
      <c r="B12" s="36" t="s">
        <v>64</v>
      </c>
      <c r="C12" s="2">
        <v>64</v>
      </c>
      <c r="D12" s="2">
        <v>36</v>
      </c>
      <c r="E12" s="2">
        <v>14</v>
      </c>
      <c r="F12" s="2">
        <v>18</v>
      </c>
      <c r="G12" s="2">
        <v>37</v>
      </c>
      <c r="H12" s="2">
        <v>30</v>
      </c>
      <c r="J12" s="2"/>
      <c r="K12" s="2">
        <v>10</v>
      </c>
      <c r="L12" s="2">
        <v>17</v>
      </c>
      <c r="M12" s="2">
        <v>23</v>
      </c>
      <c r="N12" s="2">
        <v>22</v>
      </c>
      <c r="O12" s="2">
        <v>28</v>
      </c>
    </row>
    <row r="13" spans="1:15" x14ac:dyDescent="0.25">
      <c r="A13" s="36" t="s">
        <v>65</v>
      </c>
      <c r="B13" s="36" t="s">
        <v>66</v>
      </c>
      <c r="C13" s="2">
        <v>62</v>
      </c>
      <c r="D13" s="2">
        <v>38</v>
      </c>
      <c r="E13" s="2">
        <v>20</v>
      </c>
      <c r="F13" s="2">
        <v>21</v>
      </c>
      <c r="G13" s="2">
        <v>36</v>
      </c>
      <c r="H13" s="2">
        <v>22</v>
      </c>
      <c r="J13" s="2"/>
      <c r="K13" s="2">
        <v>13</v>
      </c>
      <c r="L13" s="2">
        <v>19</v>
      </c>
      <c r="M13" s="2">
        <v>28</v>
      </c>
      <c r="N13" s="2">
        <v>26</v>
      </c>
      <c r="O13" s="2">
        <v>13</v>
      </c>
    </row>
    <row r="14" spans="1:15" x14ac:dyDescent="0.25">
      <c r="A14" s="36" t="s">
        <v>67</v>
      </c>
      <c r="B14" s="36" t="s">
        <v>68</v>
      </c>
      <c r="C14" s="2">
        <v>62</v>
      </c>
      <c r="D14" s="2">
        <v>38</v>
      </c>
      <c r="E14" s="2">
        <v>33</v>
      </c>
      <c r="F14" s="2">
        <v>16</v>
      </c>
      <c r="G14" s="2">
        <v>28</v>
      </c>
      <c r="H14" s="2">
        <v>23</v>
      </c>
      <c r="J14" s="2"/>
      <c r="K14" s="2">
        <v>36</v>
      </c>
      <c r="L14" s="2">
        <v>33</v>
      </c>
      <c r="M14" s="2">
        <v>16</v>
      </c>
      <c r="N14" s="2">
        <v>13</v>
      </c>
      <c r="O14" s="2">
        <v>2</v>
      </c>
    </row>
    <row r="15" spans="1:15" x14ac:dyDescent="0.25">
      <c r="A15" s="36" t="s">
        <v>69</v>
      </c>
      <c r="B15" s="36" t="s">
        <v>465</v>
      </c>
      <c r="C15" s="2">
        <v>57</v>
      </c>
      <c r="D15" s="2">
        <v>43</v>
      </c>
      <c r="E15" s="2">
        <v>12</v>
      </c>
      <c r="F15" s="2">
        <v>27</v>
      </c>
      <c r="G15" s="2">
        <v>37</v>
      </c>
      <c r="H15" s="2">
        <v>25</v>
      </c>
      <c r="J15" s="2"/>
      <c r="K15" s="2">
        <v>3</v>
      </c>
      <c r="L15" s="2">
        <v>32</v>
      </c>
      <c r="M15" s="2">
        <v>18</v>
      </c>
      <c r="N15" s="2">
        <v>27</v>
      </c>
      <c r="O15" s="2">
        <v>20</v>
      </c>
    </row>
    <row r="16" spans="1:15" x14ac:dyDescent="0.25">
      <c r="A16" s="36" t="s">
        <v>70</v>
      </c>
      <c r="B16" s="36" t="s">
        <v>71</v>
      </c>
      <c r="C16" s="2">
        <v>65</v>
      </c>
      <c r="D16" s="2">
        <v>35</v>
      </c>
      <c r="E16" s="2">
        <v>13</v>
      </c>
      <c r="F16" s="2">
        <v>28</v>
      </c>
      <c r="G16" s="2">
        <v>34</v>
      </c>
      <c r="H16" s="2">
        <v>25</v>
      </c>
      <c r="J16" s="2"/>
      <c r="K16" s="2">
        <v>4</v>
      </c>
      <c r="L16" s="2">
        <v>7</v>
      </c>
      <c r="M16" s="2">
        <v>8</v>
      </c>
      <c r="N16" s="2">
        <v>29</v>
      </c>
      <c r="O16" s="2">
        <v>52</v>
      </c>
    </row>
    <row r="17" spans="1:15" x14ac:dyDescent="0.25">
      <c r="A17" s="36" t="s">
        <v>72</v>
      </c>
      <c r="B17" s="36" t="s">
        <v>73</v>
      </c>
      <c r="C17" s="2">
        <v>72</v>
      </c>
      <c r="D17" s="2">
        <v>28</v>
      </c>
      <c r="E17" s="2">
        <v>10</v>
      </c>
      <c r="F17" s="2">
        <v>17</v>
      </c>
      <c r="G17" s="2">
        <v>39</v>
      </c>
      <c r="H17" s="2">
        <v>34</v>
      </c>
      <c r="J17" s="2"/>
      <c r="K17" s="2">
        <v>12</v>
      </c>
      <c r="L17" s="2">
        <v>20</v>
      </c>
      <c r="M17" s="2">
        <v>32</v>
      </c>
      <c r="N17" s="2">
        <v>26</v>
      </c>
      <c r="O17" s="2">
        <v>10</v>
      </c>
    </row>
    <row r="18" spans="1:15" x14ac:dyDescent="0.25">
      <c r="A18" s="36" t="s">
        <v>74</v>
      </c>
      <c r="B18" s="36" t="s">
        <v>75</v>
      </c>
      <c r="C18" s="2">
        <v>64</v>
      </c>
      <c r="D18" s="2">
        <v>36</v>
      </c>
      <c r="E18" s="2">
        <v>14</v>
      </c>
      <c r="F18" s="2">
        <v>26</v>
      </c>
      <c r="G18" s="2">
        <v>34</v>
      </c>
      <c r="H18" s="2">
        <v>26</v>
      </c>
      <c r="J18" s="2"/>
      <c r="K18" s="2">
        <v>46</v>
      </c>
      <c r="L18" s="2">
        <v>20</v>
      </c>
      <c r="M18" s="2">
        <v>14</v>
      </c>
      <c r="N18" s="2">
        <v>9</v>
      </c>
      <c r="O18" s="2">
        <v>11</v>
      </c>
    </row>
    <row r="19" spans="1:15" x14ac:dyDescent="0.25">
      <c r="A19" s="36" t="s">
        <v>76</v>
      </c>
      <c r="B19" s="36" t="s">
        <v>77</v>
      </c>
      <c r="C19" s="2">
        <v>68</v>
      </c>
      <c r="D19" s="2">
        <v>32</v>
      </c>
      <c r="E19" s="2">
        <v>17</v>
      </c>
      <c r="F19" s="2">
        <v>26</v>
      </c>
      <c r="G19" s="2">
        <v>29</v>
      </c>
      <c r="H19" s="2">
        <v>28</v>
      </c>
      <c r="J19" s="2"/>
      <c r="K19" s="2">
        <v>31</v>
      </c>
      <c r="L19" s="2">
        <v>13</v>
      </c>
      <c r="M19" s="2">
        <v>17</v>
      </c>
      <c r="N19" s="2">
        <v>23</v>
      </c>
      <c r="O19" s="2">
        <v>16</v>
      </c>
    </row>
    <row r="20" spans="1:15" x14ac:dyDescent="0.25">
      <c r="A20" s="36" t="s">
        <v>78</v>
      </c>
      <c r="B20" s="36" t="s">
        <v>470</v>
      </c>
      <c r="C20" s="2">
        <v>64</v>
      </c>
      <c r="D20" s="2">
        <v>36</v>
      </c>
      <c r="E20" s="2">
        <v>14</v>
      </c>
      <c r="F20" s="2">
        <v>25</v>
      </c>
      <c r="G20" s="2">
        <v>34</v>
      </c>
      <c r="H20" s="2">
        <v>27</v>
      </c>
      <c r="J20" s="2"/>
      <c r="K20" s="2">
        <v>36</v>
      </c>
      <c r="L20" s="2">
        <v>15</v>
      </c>
      <c r="M20" s="2">
        <v>20</v>
      </c>
      <c r="N20" s="2">
        <v>17</v>
      </c>
      <c r="O20" s="2">
        <v>13</v>
      </c>
    </row>
    <row r="21" spans="1:15" x14ac:dyDescent="0.25">
      <c r="A21" s="36" t="s">
        <v>79</v>
      </c>
      <c r="B21" s="36" t="s">
        <v>80</v>
      </c>
      <c r="C21" s="2">
        <v>67</v>
      </c>
      <c r="D21" s="2">
        <v>33</v>
      </c>
      <c r="E21" s="2">
        <v>15</v>
      </c>
      <c r="F21" s="2">
        <v>27</v>
      </c>
      <c r="G21" s="2">
        <v>30</v>
      </c>
      <c r="H21" s="2">
        <v>28</v>
      </c>
      <c r="J21" s="2"/>
      <c r="K21" s="2">
        <v>13</v>
      </c>
      <c r="L21" s="2">
        <v>19</v>
      </c>
      <c r="M21" s="2">
        <v>17</v>
      </c>
      <c r="N21" s="2">
        <v>23</v>
      </c>
      <c r="O21" s="2">
        <v>27</v>
      </c>
    </row>
    <row r="22" spans="1:15" x14ac:dyDescent="0.25">
      <c r="A22" s="36" t="s">
        <v>81</v>
      </c>
      <c r="B22" s="36" t="s">
        <v>82</v>
      </c>
      <c r="C22" s="2">
        <v>67</v>
      </c>
      <c r="D22" s="2">
        <v>33</v>
      </c>
      <c r="E22" s="2">
        <v>18</v>
      </c>
      <c r="F22" s="2">
        <v>22</v>
      </c>
      <c r="G22" s="2">
        <v>33</v>
      </c>
      <c r="H22" s="2">
        <v>28</v>
      </c>
      <c r="J22" s="2"/>
      <c r="K22" s="2">
        <v>9</v>
      </c>
      <c r="L22" s="2">
        <v>21</v>
      </c>
      <c r="M22" s="2">
        <v>18</v>
      </c>
      <c r="N22" s="2">
        <v>21</v>
      </c>
      <c r="O22" s="2">
        <v>31</v>
      </c>
    </row>
    <row r="23" spans="1:15" x14ac:dyDescent="0.25">
      <c r="A23" s="36" t="s">
        <v>83</v>
      </c>
      <c r="B23" s="36" t="s">
        <v>492</v>
      </c>
      <c r="C23" s="2">
        <v>74</v>
      </c>
      <c r="D23" s="2">
        <v>26</v>
      </c>
      <c r="E23" s="2">
        <v>16</v>
      </c>
      <c r="F23" s="2">
        <v>21</v>
      </c>
      <c r="G23" s="2">
        <v>34</v>
      </c>
      <c r="H23" s="2">
        <v>29</v>
      </c>
      <c r="J23" s="2"/>
      <c r="K23" s="2">
        <v>13</v>
      </c>
      <c r="L23" s="2">
        <v>13</v>
      </c>
      <c r="M23" s="2">
        <v>21</v>
      </c>
      <c r="N23" s="2">
        <v>22</v>
      </c>
      <c r="O23" s="2">
        <v>32</v>
      </c>
    </row>
    <row r="24" spans="1:15" x14ac:dyDescent="0.25">
      <c r="A24" s="36" t="s">
        <v>84</v>
      </c>
      <c r="B24" s="36" t="s">
        <v>85</v>
      </c>
      <c r="C24" s="2">
        <v>62</v>
      </c>
      <c r="D24" s="2">
        <v>38</v>
      </c>
      <c r="E24" s="2">
        <v>11</v>
      </c>
      <c r="F24" s="2">
        <v>22</v>
      </c>
      <c r="G24" s="2">
        <v>31</v>
      </c>
      <c r="H24" s="2">
        <v>36</v>
      </c>
      <c r="J24" s="2"/>
      <c r="K24" s="2">
        <v>1</v>
      </c>
      <c r="L24" s="2">
        <v>4</v>
      </c>
      <c r="M24" s="2">
        <v>17</v>
      </c>
      <c r="N24" s="2">
        <v>34</v>
      </c>
      <c r="O24" s="2">
        <v>44</v>
      </c>
    </row>
    <row r="25" spans="1:15" x14ac:dyDescent="0.25">
      <c r="A25" s="36" t="s">
        <v>86</v>
      </c>
      <c r="B25" s="36" t="s">
        <v>87</v>
      </c>
      <c r="C25" s="2">
        <v>69</v>
      </c>
      <c r="D25" s="2">
        <v>31</v>
      </c>
      <c r="E25" s="2">
        <v>19</v>
      </c>
      <c r="F25" s="2">
        <v>16</v>
      </c>
      <c r="G25" s="2">
        <v>41</v>
      </c>
      <c r="H25" s="2">
        <v>24</v>
      </c>
      <c r="J25" s="2"/>
      <c r="K25" s="2">
        <v>20</v>
      </c>
      <c r="L25" s="2">
        <v>18</v>
      </c>
      <c r="M25" s="2">
        <v>30</v>
      </c>
      <c r="N25" s="2">
        <v>19</v>
      </c>
      <c r="O25" s="2">
        <v>13</v>
      </c>
    </row>
    <row r="26" spans="1:15" x14ac:dyDescent="0.25">
      <c r="A26" s="36" t="s">
        <v>88</v>
      </c>
      <c r="B26" s="36" t="s">
        <v>477</v>
      </c>
      <c r="C26" s="2">
        <v>76</v>
      </c>
      <c r="D26" s="2">
        <v>24</v>
      </c>
      <c r="E26" s="2">
        <v>11</v>
      </c>
      <c r="F26" s="2">
        <v>15</v>
      </c>
      <c r="G26" s="2">
        <v>39</v>
      </c>
      <c r="H26" s="2">
        <v>35</v>
      </c>
      <c r="J26" s="2"/>
      <c r="K26" s="2">
        <v>14</v>
      </c>
      <c r="L26" s="2">
        <v>42</v>
      </c>
      <c r="M26" s="2">
        <v>36</v>
      </c>
      <c r="N26" s="2">
        <v>6</v>
      </c>
      <c r="O26" s="2">
        <v>2</v>
      </c>
    </row>
    <row r="27" spans="1:15" x14ac:dyDescent="0.25">
      <c r="A27" s="36" t="s">
        <v>89</v>
      </c>
      <c r="B27" s="36" t="s">
        <v>481</v>
      </c>
      <c r="C27" s="2">
        <v>69</v>
      </c>
      <c r="D27" s="2">
        <v>31</v>
      </c>
      <c r="E27" s="2">
        <v>16</v>
      </c>
      <c r="F27" s="2">
        <v>23</v>
      </c>
      <c r="G27" s="2">
        <v>32</v>
      </c>
      <c r="H27" s="2">
        <v>29</v>
      </c>
      <c r="J27" s="2"/>
      <c r="K27" s="2">
        <v>5</v>
      </c>
      <c r="L27" s="2">
        <v>17</v>
      </c>
      <c r="M27" s="2">
        <v>23</v>
      </c>
      <c r="N27" s="2">
        <v>25</v>
      </c>
      <c r="O27" s="2">
        <v>30</v>
      </c>
    </row>
    <row r="28" spans="1:15" x14ac:dyDescent="0.25">
      <c r="A28" s="36" t="s">
        <v>90</v>
      </c>
      <c r="B28" s="36" t="s">
        <v>91</v>
      </c>
      <c r="C28" s="2">
        <v>70</v>
      </c>
      <c r="D28" s="2">
        <v>30</v>
      </c>
      <c r="E28" s="2">
        <v>22</v>
      </c>
      <c r="F28" s="2">
        <v>32</v>
      </c>
      <c r="G28" s="2">
        <v>25</v>
      </c>
      <c r="H28" s="2">
        <v>21</v>
      </c>
      <c r="J28" s="2"/>
      <c r="K28" s="2">
        <v>9</v>
      </c>
      <c r="L28" s="2">
        <v>12</v>
      </c>
      <c r="M28" s="2">
        <v>17</v>
      </c>
      <c r="N28" s="2">
        <v>41</v>
      </c>
      <c r="O28" s="2">
        <v>21</v>
      </c>
    </row>
    <row r="29" spans="1:15" x14ac:dyDescent="0.25">
      <c r="A29" s="36" t="s">
        <v>92</v>
      </c>
      <c r="B29" s="36" t="s">
        <v>93</v>
      </c>
      <c r="C29" s="2">
        <v>76</v>
      </c>
      <c r="D29" s="2">
        <v>24</v>
      </c>
      <c r="E29" s="2">
        <v>18</v>
      </c>
      <c r="F29" s="2">
        <v>24</v>
      </c>
      <c r="G29" s="2">
        <v>32</v>
      </c>
      <c r="H29" s="2">
        <v>26</v>
      </c>
      <c r="J29" s="2"/>
      <c r="K29" s="2">
        <v>15</v>
      </c>
      <c r="L29" s="2">
        <v>16</v>
      </c>
      <c r="M29" s="2">
        <v>30</v>
      </c>
      <c r="N29" s="2">
        <v>18</v>
      </c>
      <c r="O29" s="2">
        <v>20</v>
      </c>
    </row>
    <row r="30" spans="1:15" x14ac:dyDescent="0.25">
      <c r="A30" s="36" t="s">
        <v>94</v>
      </c>
      <c r="B30" s="36" t="s">
        <v>95</v>
      </c>
      <c r="C30" s="2">
        <v>69</v>
      </c>
      <c r="D30" s="2">
        <v>31</v>
      </c>
      <c r="E30" s="2">
        <v>19</v>
      </c>
      <c r="F30" s="2">
        <v>26</v>
      </c>
      <c r="G30" s="2">
        <v>31</v>
      </c>
      <c r="H30" s="2">
        <v>24</v>
      </c>
      <c r="J30" s="2"/>
      <c r="K30" s="2">
        <v>3</v>
      </c>
      <c r="L30" s="2">
        <v>16</v>
      </c>
      <c r="M30" s="2">
        <v>16</v>
      </c>
      <c r="N30" s="2">
        <v>24</v>
      </c>
      <c r="O30" s="2">
        <v>41</v>
      </c>
    </row>
    <row r="31" spans="1:15" x14ac:dyDescent="0.25">
      <c r="A31" s="36" t="s">
        <v>96</v>
      </c>
      <c r="B31" s="36" t="s">
        <v>97</v>
      </c>
      <c r="C31" s="2">
        <v>67</v>
      </c>
      <c r="D31" s="2">
        <v>33</v>
      </c>
      <c r="E31" s="2">
        <v>12</v>
      </c>
      <c r="F31" s="2">
        <v>19</v>
      </c>
      <c r="G31" s="2">
        <v>39</v>
      </c>
      <c r="H31" s="2">
        <v>30</v>
      </c>
      <c r="J31" s="2"/>
      <c r="K31" s="2">
        <v>14</v>
      </c>
      <c r="L31" s="2">
        <v>39</v>
      </c>
      <c r="M31" s="2">
        <v>27</v>
      </c>
      <c r="N31" s="2">
        <v>17</v>
      </c>
      <c r="O31" s="2">
        <v>2</v>
      </c>
    </row>
    <row r="32" spans="1:15" x14ac:dyDescent="0.25">
      <c r="A32" s="36" t="s">
        <v>98</v>
      </c>
      <c r="B32" s="36" t="s">
        <v>99</v>
      </c>
      <c r="C32" s="2">
        <v>69</v>
      </c>
      <c r="D32" s="2">
        <v>31</v>
      </c>
      <c r="E32" s="2">
        <v>14</v>
      </c>
      <c r="F32" s="2">
        <v>29</v>
      </c>
      <c r="G32" s="2">
        <v>34</v>
      </c>
      <c r="H32" s="2">
        <v>23</v>
      </c>
      <c r="J32" s="2"/>
      <c r="K32" s="2">
        <v>54</v>
      </c>
      <c r="L32" s="2">
        <v>15</v>
      </c>
      <c r="M32" s="2">
        <v>15</v>
      </c>
      <c r="N32" s="2">
        <v>11</v>
      </c>
      <c r="O32" s="2">
        <v>5</v>
      </c>
    </row>
    <row r="33" spans="1:15" x14ac:dyDescent="0.25">
      <c r="A33" s="36" t="s">
        <v>100</v>
      </c>
      <c r="B33" s="36" t="s">
        <v>101</v>
      </c>
      <c r="C33" s="2">
        <v>66</v>
      </c>
      <c r="D33" s="2">
        <v>34</v>
      </c>
      <c r="E33" s="2">
        <v>16</v>
      </c>
      <c r="F33" s="2">
        <v>21</v>
      </c>
      <c r="G33" s="2">
        <v>35</v>
      </c>
      <c r="H33" s="2">
        <v>27</v>
      </c>
      <c r="J33" s="2"/>
      <c r="K33" s="2">
        <v>16</v>
      </c>
      <c r="L33" s="2">
        <v>28</v>
      </c>
      <c r="M33" s="2">
        <v>27</v>
      </c>
      <c r="N33" s="2">
        <v>19</v>
      </c>
      <c r="O33" s="2">
        <v>10</v>
      </c>
    </row>
    <row r="34" spans="1:15" x14ac:dyDescent="0.25">
      <c r="A34" s="36" t="s">
        <v>102</v>
      </c>
      <c r="B34" s="36" t="s">
        <v>103</v>
      </c>
      <c r="C34" s="2">
        <v>62</v>
      </c>
      <c r="D34" s="2">
        <v>38</v>
      </c>
      <c r="E34" s="2">
        <v>10</v>
      </c>
      <c r="F34" s="2">
        <v>22</v>
      </c>
      <c r="G34" s="2">
        <v>43</v>
      </c>
      <c r="H34" s="2">
        <v>24</v>
      </c>
      <c r="J34" s="2"/>
      <c r="K34" s="2">
        <v>34</v>
      </c>
      <c r="L34" s="2">
        <v>31</v>
      </c>
      <c r="M34" s="2">
        <v>16</v>
      </c>
      <c r="N34" s="2">
        <v>13</v>
      </c>
      <c r="O34" s="2">
        <v>6</v>
      </c>
    </row>
    <row r="35" spans="1:15" x14ac:dyDescent="0.25">
      <c r="A35" s="36" t="s">
        <v>104</v>
      </c>
      <c r="B35" s="36" t="s">
        <v>478</v>
      </c>
      <c r="C35" s="2">
        <v>69</v>
      </c>
      <c r="D35" s="2">
        <v>31</v>
      </c>
      <c r="E35" s="2">
        <v>14</v>
      </c>
      <c r="F35" s="2">
        <v>25</v>
      </c>
      <c r="G35" s="2">
        <v>36</v>
      </c>
      <c r="H35" s="2">
        <v>25</v>
      </c>
      <c r="J35" s="2"/>
      <c r="K35" s="2">
        <v>40</v>
      </c>
      <c r="L35" s="2">
        <v>24</v>
      </c>
      <c r="M35" s="2">
        <v>16</v>
      </c>
      <c r="N35" s="2">
        <v>14</v>
      </c>
      <c r="O35" s="2">
        <v>6</v>
      </c>
    </row>
    <row r="36" spans="1:15" x14ac:dyDescent="0.25">
      <c r="A36" s="36" t="s">
        <v>105</v>
      </c>
      <c r="B36" s="36" t="s">
        <v>106</v>
      </c>
      <c r="C36" s="2">
        <v>70</v>
      </c>
      <c r="D36" s="2">
        <v>30</v>
      </c>
      <c r="E36" s="2">
        <v>11</v>
      </c>
      <c r="F36" s="2">
        <v>32</v>
      </c>
      <c r="G36" s="2">
        <v>30</v>
      </c>
      <c r="H36" s="2">
        <v>27</v>
      </c>
      <c r="J36" s="2"/>
      <c r="K36" s="2">
        <v>15</v>
      </c>
      <c r="L36" s="2">
        <v>19</v>
      </c>
      <c r="M36" s="2">
        <v>23</v>
      </c>
      <c r="N36" s="2">
        <v>19</v>
      </c>
      <c r="O36" s="2">
        <v>24</v>
      </c>
    </row>
    <row r="37" spans="1:15" x14ac:dyDescent="0.25">
      <c r="A37" s="36" t="s">
        <v>107</v>
      </c>
      <c r="B37" s="36" t="s">
        <v>108</v>
      </c>
      <c r="C37" s="2">
        <v>71</v>
      </c>
      <c r="D37" s="2">
        <v>29</v>
      </c>
      <c r="E37" s="2">
        <v>15</v>
      </c>
      <c r="F37" s="2">
        <v>25</v>
      </c>
      <c r="G37" s="2">
        <v>29</v>
      </c>
      <c r="H37" s="2">
        <v>30</v>
      </c>
      <c r="J37" s="2"/>
      <c r="K37" s="2">
        <v>11</v>
      </c>
      <c r="L37" s="2">
        <v>14</v>
      </c>
      <c r="M37" s="2">
        <v>26</v>
      </c>
      <c r="N37" s="2">
        <v>26</v>
      </c>
      <c r="O37" s="2">
        <v>23</v>
      </c>
    </row>
    <row r="38" spans="1:15" x14ac:dyDescent="0.25">
      <c r="A38" s="36" t="s">
        <v>109</v>
      </c>
      <c r="B38" s="36" t="s">
        <v>110</v>
      </c>
      <c r="C38" s="2">
        <v>67</v>
      </c>
      <c r="D38" s="2">
        <v>33</v>
      </c>
      <c r="E38" s="2">
        <v>16</v>
      </c>
      <c r="F38" s="2">
        <v>23</v>
      </c>
      <c r="G38" s="2">
        <v>38</v>
      </c>
      <c r="H38" s="2">
        <v>23</v>
      </c>
      <c r="J38" s="2"/>
      <c r="K38" s="2">
        <v>22</v>
      </c>
      <c r="L38" s="2">
        <v>35</v>
      </c>
      <c r="M38" s="2">
        <v>30</v>
      </c>
      <c r="N38" s="2">
        <v>8</v>
      </c>
      <c r="O38" s="2">
        <v>5</v>
      </c>
    </row>
    <row r="39" spans="1:15" x14ac:dyDescent="0.25">
      <c r="A39" s="36" t="s">
        <v>111</v>
      </c>
      <c r="B39" s="36" t="s">
        <v>112</v>
      </c>
      <c r="C39" s="2">
        <v>70</v>
      </c>
      <c r="D39" s="2">
        <v>30</v>
      </c>
      <c r="E39" s="2">
        <v>16</v>
      </c>
      <c r="F39" s="2">
        <v>19</v>
      </c>
      <c r="G39" s="2">
        <v>39</v>
      </c>
      <c r="H39" s="2">
        <v>27</v>
      </c>
      <c r="J39" s="2"/>
      <c r="K39" s="2">
        <v>3</v>
      </c>
      <c r="L39" s="2">
        <v>19</v>
      </c>
      <c r="M39" s="2">
        <v>36</v>
      </c>
      <c r="N39" s="2">
        <v>25</v>
      </c>
      <c r="O39" s="2">
        <v>17</v>
      </c>
    </row>
    <row r="40" spans="1:15" x14ac:dyDescent="0.25">
      <c r="A40" s="36" t="s">
        <v>113</v>
      </c>
      <c r="B40" s="36" t="s">
        <v>114</v>
      </c>
      <c r="C40" s="2">
        <v>64</v>
      </c>
      <c r="D40" s="2">
        <v>36</v>
      </c>
      <c r="E40" s="2">
        <v>23</v>
      </c>
      <c r="F40" s="2">
        <v>21</v>
      </c>
      <c r="G40" s="2">
        <v>33</v>
      </c>
      <c r="H40" s="2">
        <v>23</v>
      </c>
      <c r="J40" s="2"/>
      <c r="K40" s="2">
        <v>3</v>
      </c>
      <c r="L40" s="2">
        <v>7</v>
      </c>
      <c r="M40" s="2">
        <v>20</v>
      </c>
      <c r="N40" s="2">
        <v>29</v>
      </c>
      <c r="O40" s="2">
        <v>42</v>
      </c>
    </row>
    <row r="41" spans="1:15" x14ac:dyDescent="0.25">
      <c r="A41" s="36" t="s">
        <v>115</v>
      </c>
      <c r="B41" s="36" t="s">
        <v>116</v>
      </c>
      <c r="C41" s="2">
        <v>63</v>
      </c>
      <c r="D41" s="2">
        <v>37</v>
      </c>
      <c r="E41" s="2">
        <v>13</v>
      </c>
      <c r="F41" s="2">
        <v>20</v>
      </c>
      <c r="G41" s="2">
        <v>37</v>
      </c>
      <c r="H41" s="2">
        <v>30</v>
      </c>
      <c r="J41" s="2"/>
      <c r="K41" s="2">
        <v>9</v>
      </c>
      <c r="L41" s="2">
        <v>21</v>
      </c>
      <c r="M41" s="2">
        <v>34</v>
      </c>
      <c r="N41" s="2">
        <v>27</v>
      </c>
      <c r="O41" s="2">
        <v>9</v>
      </c>
    </row>
    <row r="42" spans="1:15" x14ac:dyDescent="0.25">
      <c r="A42" s="36" t="s">
        <v>117</v>
      </c>
      <c r="B42" s="36" t="s">
        <v>479</v>
      </c>
      <c r="C42" s="2">
        <v>66</v>
      </c>
      <c r="D42" s="2">
        <v>34</v>
      </c>
      <c r="E42" s="2">
        <v>14</v>
      </c>
      <c r="F42" s="2">
        <v>24</v>
      </c>
      <c r="G42" s="2">
        <v>34</v>
      </c>
      <c r="H42" s="2">
        <v>28</v>
      </c>
      <c r="J42" s="2"/>
      <c r="K42" s="2">
        <v>4</v>
      </c>
      <c r="L42" s="2">
        <v>25</v>
      </c>
      <c r="M42" s="2">
        <v>30</v>
      </c>
      <c r="N42" s="2">
        <v>23</v>
      </c>
      <c r="O42" s="2">
        <v>17</v>
      </c>
    </row>
    <row r="43" spans="1:15" x14ac:dyDescent="0.25">
      <c r="A43" s="36" t="s">
        <v>118</v>
      </c>
      <c r="B43" s="36" t="s">
        <v>119</v>
      </c>
      <c r="C43" s="2">
        <v>67</v>
      </c>
      <c r="D43" s="2">
        <v>33</v>
      </c>
      <c r="E43" s="2">
        <v>14</v>
      </c>
      <c r="F43" s="2">
        <v>22</v>
      </c>
      <c r="G43" s="2">
        <v>36</v>
      </c>
      <c r="H43" s="2">
        <v>28</v>
      </c>
      <c r="J43" s="2"/>
      <c r="K43" s="2">
        <v>15</v>
      </c>
      <c r="L43" s="2">
        <v>19</v>
      </c>
      <c r="M43" s="2">
        <v>17</v>
      </c>
      <c r="N43" s="2">
        <v>21</v>
      </c>
      <c r="O43" s="2">
        <v>28</v>
      </c>
    </row>
    <row r="44" spans="1:15" x14ac:dyDescent="0.25">
      <c r="A44" s="36" t="s">
        <v>120</v>
      </c>
      <c r="B44" s="36" t="s">
        <v>121</v>
      </c>
      <c r="C44" s="2">
        <v>61</v>
      </c>
      <c r="D44" s="2">
        <v>39</v>
      </c>
      <c r="E44" s="2">
        <v>15</v>
      </c>
      <c r="F44" s="2">
        <v>24</v>
      </c>
      <c r="G44" s="2">
        <v>35</v>
      </c>
      <c r="H44" s="2">
        <v>26</v>
      </c>
      <c r="J44" s="2"/>
      <c r="K44" s="2">
        <v>38</v>
      </c>
      <c r="L44" s="2">
        <v>16</v>
      </c>
      <c r="M44" s="2">
        <v>15</v>
      </c>
      <c r="N44" s="2">
        <v>16</v>
      </c>
      <c r="O44" s="2">
        <v>16</v>
      </c>
    </row>
    <row r="45" spans="1:15" x14ac:dyDescent="0.25">
      <c r="A45" s="36" t="s">
        <v>122</v>
      </c>
      <c r="B45" s="36" t="s">
        <v>475</v>
      </c>
      <c r="C45" s="2">
        <v>69</v>
      </c>
      <c r="D45" s="2">
        <v>31</v>
      </c>
      <c r="E45" s="2">
        <v>18</v>
      </c>
      <c r="F45" s="2">
        <v>23</v>
      </c>
      <c r="G45" s="2">
        <v>35</v>
      </c>
      <c r="H45" s="2">
        <v>24</v>
      </c>
      <c r="J45" s="2"/>
      <c r="K45" s="2">
        <v>16</v>
      </c>
      <c r="L45" s="2">
        <v>15</v>
      </c>
      <c r="M45" s="2">
        <v>20</v>
      </c>
      <c r="N45" s="2">
        <v>21</v>
      </c>
      <c r="O45" s="2">
        <v>28</v>
      </c>
    </row>
    <row r="46" spans="1:15" x14ac:dyDescent="0.25">
      <c r="A46" s="36" t="s">
        <v>123</v>
      </c>
      <c r="B46" s="36" t="s">
        <v>124</v>
      </c>
      <c r="C46" s="2">
        <v>66</v>
      </c>
      <c r="D46" s="2">
        <v>34</v>
      </c>
      <c r="E46" s="2">
        <v>24</v>
      </c>
      <c r="F46" s="2">
        <v>19</v>
      </c>
      <c r="G46" s="2">
        <v>33</v>
      </c>
      <c r="H46" s="2">
        <v>24</v>
      </c>
      <c r="J46" s="2"/>
      <c r="K46" s="2">
        <v>2</v>
      </c>
      <c r="L46" s="2">
        <v>11</v>
      </c>
      <c r="M46" s="2">
        <v>11</v>
      </c>
      <c r="N46" s="2">
        <v>17</v>
      </c>
      <c r="O46" s="2">
        <v>60</v>
      </c>
    </row>
    <row r="47" spans="1:15" x14ac:dyDescent="0.25">
      <c r="A47" s="36" t="s">
        <v>125</v>
      </c>
      <c r="B47" s="36" t="s">
        <v>126</v>
      </c>
      <c r="C47" s="2">
        <v>68</v>
      </c>
      <c r="D47" s="2">
        <v>32</v>
      </c>
      <c r="E47" s="2">
        <v>29</v>
      </c>
      <c r="F47" s="2">
        <v>25</v>
      </c>
      <c r="G47" s="2">
        <v>31</v>
      </c>
      <c r="H47" s="2">
        <v>15</v>
      </c>
      <c r="J47" s="2"/>
      <c r="K47" s="2">
        <v>21</v>
      </c>
      <c r="L47" s="2">
        <v>38</v>
      </c>
      <c r="M47" s="2">
        <v>17</v>
      </c>
      <c r="N47" s="2">
        <v>11</v>
      </c>
      <c r="O47" s="2">
        <v>14</v>
      </c>
    </row>
    <row r="48" spans="1:15" x14ac:dyDescent="0.25">
      <c r="A48" s="36" t="s">
        <v>127</v>
      </c>
      <c r="B48" s="36" t="s">
        <v>128</v>
      </c>
      <c r="C48" s="2">
        <v>68</v>
      </c>
      <c r="D48" s="2">
        <v>32</v>
      </c>
      <c r="E48" s="2">
        <v>19</v>
      </c>
      <c r="F48" s="2">
        <v>29</v>
      </c>
      <c r="G48" s="2">
        <v>30</v>
      </c>
      <c r="H48" s="2">
        <v>21</v>
      </c>
      <c r="J48" s="2"/>
      <c r="K48" s="2">
        <v>21</v>
      </c>
      <c r="L48" s="2">
        <v>27</v>
      </c>
      <c r="M48" s="2">
        <v>21</v>
      </c>
      <c r="N48" s="2">
        <v>19</v>
      </c>
      <c r="O48" s="2">
        <v>12</v>
      </c>
    </row>
    <row r="49" spans="1:15" x14ac:dyDescent="0.25">
      <c r="A49" s="36" t="s">
        <v>129</v>
      </c>
      <c r="B49" s="36" t="s">
        <v>130</v>
      </c>
      <c r="C49" s="2">
        <v>61</v>
      </c>
      <c r="D49" s="2">
        <v>39</v>
      </c>
      <c r="E49" s="2">
        <v>19</v>
      </c>
      <c r="F49" s="2">
        <v>18</v>
      </c>
      <c r="G49" s="2">
        <v>30</v>
      </c>
      <c r="H49" s="2">
        <v>33</v>
      </c>
      <c r="J49" s="2"/>
      <c r="K49" s="2">
        <v>22</v>
      </c>
      <c r="L49" s="2">
        <v>19</v>
      </c>
      <c r="M49" s="2">
        <v>26</v>
      </c>
      <c r="N49" s="2">
        <v>19</v>
      </c>
      <c r="O49" s="2">
        <v>13</v>
      </c>
    </row>
    <row r="50" spans="1:15" x14ac:dyDescent="0.25">
      <c r="A50" s="36" t="s">
        <v>131</v>
      </c>
      <c r="B50" s="36" t="s">
        <v>132</v>
      </c>
      <c r="C50" s="2">
        <v>66</v>
      </c>
      <c r="D50" s="2">
        <v>34</v>
      </c>
      <c r="E50" s="2">
        <v>26</v>
      </c>
      <c r="F50" s="2">
        <v>27</v>
      </c>
      <c r="G50" s="2">
        <v>31</v>
      </c>
      <c r="H50" s="2">
        <v>15</v>
      </c>
      <c r="J50" s="2"/>
      <c r="K50" s="2">
        <v>3</v>
      </c>
      <c r="L50" s="2">
        <v>20</v>
      </c>
      <c r="M50" s="2">
        <v>39</v>
      </c>
      <c r="N50" s="2">
        <v>17</v>
      </c>
      <c r="O50" s="2">
        <v>21</v>
      </c>
    </row>
    <row r="51" spans="1:15" x14ac:dyDescent="0.25">
      <c r="A51" s="36" t="s">
        <v>133</v>
      </c>
      <c r="B51" s="36" t="s">
        <v>483</v>
      </c>
      <c r="C51" s="2">
        <v>67</v>
      </c>
      <c r="D51" s="2">
        <v>33</v>
      </c>
      <c r="E51" s="2">
        <v>14</v>
      </c>
      <c r="F51" s="2">
        <v>22</v>
      </c>
      <c r="G51" s="2">
        <v>28</v>
      </c>
      <c r="H51" s="2">
        <v>36</v>
      </c>
      <c r="J51" s="2"/>
      <c r="K51" s="2">
        <v>2</v>
      </c>
      <c r="L51" s="2">
        <v>7</v>
      </c>
      <c r="M51" s="2">
        <v>15</v>
      </c>
      <c r="N51" s="2">
        <v>42</v>
      </c>
      <c r="O51" s="2">
        <v>34</v>
      </c>
    </row>
    <row r="52" spans="1:15" x14ac:dyDescent="0.25">
      <c r="A52" s="36" t="s">
        <v>134</v>
      </c>
      <c r="B52" s="36" t="s">
        <v>487</v>
      </c>
      <c r="C52" s="2">
        <v>72</v>
      </c>
      <c r="D52" s="2">
        <v>28</v>
      </c>
      <c r="E52" s="2">
        <v>13</v>
      </c>
      <c r="F52" s="2">
        <v>22</v>
      </c>
      <c r="G52" s="2">
        <v>36</v>
      </c>
      <c r="H52" s="2">
        <v>29</v>
      </c>
      <c r="J52" s="2"/>
      <c r="K52" s="2">
        <v>21</v>
      </c>
      <c r="L52" s="2">
        <v>20</v>
      </c>
      <c r="M52" s="2">
        <v>20</v>
      </c>
      <c r="N52" s="2">
        <v>21</v>
      </c>
      <c r="O52" s="2">
        <v>17</v>
      </c>
    </row>
    <row r="53" spans="1:15" x14ac:dyDescent="0.25">
      <c r="A53" s="36" t="s">
        <v>135</v>
      </c>
      <c r="B53" s="36" t="s">
        <v>136</v>
      </c>
      <c r="C53" s="2">
        <v>71</v>
      </c>
      <c r="D53" s="2">
        <v>29</v>
      </c>
      <c r="E53" s="2">
        <v>12</v>
      </c>
      <c r="F53" s="2">
        <v>24</v>
      </c>
      <c r="G53" s="2">
        <v>36</v>
      </c>
      <c r="H53" s="2">
        <v>28</v>
      </c>
      <c r="J53" s="2"/>
      <c r="K53" s="2">
        <v>27</v>
      </c>
      <c r="L53" s="2">
        <v>16</v>
      </c>
      <c r="M53" s="2">
        <v>18</v>
      </c>
      <c r="N53" s="2">
        <v>25</v>
      </c>
      <c r="O53" s="2">
        <v>14</v>
      </c>
    </row>
    <row r="54" spans="1:15" x14ac:dyDescent="0.25">
      <c r="A54" s="36" t="s">
        <v>137</v>
      </c>
      <c r="B54" s="36" t="s">
        <v>138</v>
      </c>
      <c r="C54" s="2">
        <v>69</v>
      </c>
      <c r="D54" s="2">
        <v>31</v>
      </c>
      <c r="E54" s="2">
        <v>6</v>
      </c>
      <c r="F54" s="2">
        <v>18</v>
      </c>
      <c r="G54" s="2">
        <v>35</v>
      </c>
      <c r="H54" s="2">
        <v>42</v>
      </c>
      <c r="J54" s="2"/>
      <c r="K54" s="2">
        <v>4</v>
      </c>
      <c r="L54" s="2">
        <v>16</v>
      </c>
      <c r="M54" s="2">
        <v>16</v>
      </c>
      <c r="N54" s="2">
        <v>22</v>
      </c>
      <c r="O54" s="2">
        <v>43</v>
      </c>
    </row>
    <row r="55" spans="1:15" x14ac:dyDescent="0.25">
      <c r="A55" s="36" t="s">
        <v>139</v>
      </c>
      <c r="B55" s="36" t="s">
        <v>461</v>
      </c>
      <c r="C55" s="2">
        <v>73</v>
      </c>
      <c r="D55" s="2">
        <v>27</v>
      </c>
      <c r="E55" s="2">
        <v>13</v>
      </c>
      <c r="F55" s="2">
        <v>18</v>
      </c>
      <c r="G55" s="2">
        <v>34</v>
      </c>
      <c r="H55" s="2">
        <v>35</v>
      </c>
      <c r="J55" s="2"/>
      <c r="K55" s="2">
        <v>22</v>
      </c>
      <c r="L55" s="2">
        <v>14</v>
      </c>
      <c r="M55" s="2">
        <v>14</v>
      </c>
      <c r="N55" s="2">
        <v>24</v>
      </c>
      <c r="O55" s="2">
        <v>26</v>
      </c>
    </row>
    <row r="56" spans="1:15" x14ac:dyDescent="0.25">
      <c r="A56" s="36" t="s">
        <v>140</v>
      </c>
      <c r="B56" s="36" t="s">
        <v>141</v>
      </c>
      <c r="C56" s="2">
        <v>62</v>
      </c>
      <c r="D56" s="2">
        <v>38</v>
      </c>
      <c r="E56" s="2">
        <v>13</v>
      </c>
      <c r="F56" s="2">
        <v>22</v>
      </c>
      <c r="G56" s="2">
        <v>40</v>
      </c>
      <c r="H56" s="2">
        <v>25</v>
      </c>
      <c r="J56" s="2"/>
      <c r="K56" s="2">
        <v>17</v>
      </c>
      <c r="L56" s="2">
        <v>19</v>
      </c>
      <c r="M56" s="2">
        <v>19</v>
      </c>
      <c r="N56" s="2">
        <v>22</v>
      </c>
      <c r="O56" s="2">
        <v>23</v>
      </c>
    </row>
    <row r="57" spans="1:15" x14ac:dyDescent="0.25">
      <c r="A57" s="36" t="s">
        <v>142</v>
      </c>
      <c r="B57" s="36" t="s">
        <v>143</v>
      </c>
      <c r="C57" s="2">
        <v>63</v>
      </c>
      <c r="D57" s="2">
        <v>37</v>
      </c>
      <c r="E57" s="2">
        <v>12</v>
      </c>
      <c r="F57" s="2">
        <v>27</v>
      </c>
      <c r="G57" s="2">
        <v>29</v>
      </c>
      <c r="H57" s="2">
        <v>32</v>
      </c>
      <c r="J57" s="2"/>
      <c r="K57" s="2">
        <v>24</v>
      </c>
      <c r="L57" s="2">
        <v>30</v>
      </c>
      <c r="M57" s="2">
        <v>25</v>
      </c>
      <c r="N57" s="2">
        <v>13</v>
      </c>
      <c r="O57" s="2">
        <v>8</v>
      </c>
    </row>
    <row r="58" spans="1:15" x14ac:dyDescent="0.25">
      <c r="A58" s="36" t="s">
        <v>144</v>
      </c>
      <c r="B58" s="36" t="s">
        <v>488</v>
      </c>
      <c r="C58" s="2">
        <v>68</v>
      </c>
      <c r="D58" s="2">
        <v>32</v>
      </c>
      <c r="E58" s="2">
        <v>12</v>
      </c>
      <c r="F58" s="2">
        <v>26</v>
      </c>
      <c r="G58" s="2">
        <v>35</v>
      </c>
      <c r="H58" s="2">
        <v>27</v>
      </c>
      <c r="J58" s="2"/>
      <c r="K58" s="2">
        <v>19</v>
      </c>
      <c r="L58" s="2">
        <v>35</v>
      </c>
      <c r="M58" s="2">
        <v>19</v>
      </c>
      <c r="N58" s="2">
        <v>18</v>
      </c>
      <c r="O58" s="2">
        <v>9</v>
      </c>
    </row>
    <row r="59" spans="1:15" x14ac:dyDescent="0.25">
      <c r="A59" s="36" t="s">
        <v>145</v>
      </c>
      <c r="B59" s="36" t="s">
        <v>146</v>
      </c>
      <c r="C59" s="2">
        <v>76</v>
      </c>
      <c r="D59" s="2">
        <v>24</v>
      </c>
      <c r="E59" s="2">
        <v>15</v>
      </c>
      <c r="F59" s="2">
        <v>26</v>
      </c>
      <c r="G59" s="2">
        <v>34</v>
      </c>
      <c r="H59" s="2">
        <v>25</v>
      </c>
      <c r="J59" s="2"/>
      <c r="K59" s="2">
        <v>18</v>
      </c>
      <c r="L59" s="2">
        <v>23</v>
      </c>
      <c r="M59" s="2">
        <v>23</v>
      </c>
      <c r="N59" s="2">
        <v>16</v>
      </c>
      <c r="O59" s="2">
        <v>19</v>
      </c>
    </row>
    <row r="60" spans="1:15" x14ac:dyDescent="0.25">
      <c r="A60" s="36" t="s">
        <v>147</v>
      </c>
      <c r="B60" s="36" t="s">
        <v>491</v>
      </c>
      <c r="C60" s="2">
        <v>58</v>
      </c>
      <c r="D60" s="2">
        <v>42</v>
      </c>
      <c r="E60" s="2">
        <v>17</v>
      </c>
      <c r="F60" s="2">
        <v>19</v>
      </c>
      <c r="G60" s="2">
        <v>33</v>
      </c>
      <c r="H60" s="2">
        <v>31</v>
      </c>
      <c r="J60" s="2"/>
      <c r="K60" s="2">
        <v>21</v>
      </c>
      <c r="L60" s="2">
        <v>38</v>
      </c>
      <c r="M60" s="2">
        <v>25</v>
      </c>
      <c r="N60" s="2">
        <v>12</v>
      </c>
      <c r="O60" s="2">
        <v>4</v>
      </c>
    </row>
    <row r="61" spans="1:15" x14ac:dyDescent="0.25">
      <c r="A61" s="36" t="s">
        <v>148</v>
      </c>
      <c r="B61" s="36" t="s">
        <v>482</v>
      </c>
      <c r="C61" s="2">
        <v>67</v>
      </c>
      <c r="D61" s="2">
        <v>33</v>
      </c>
      <c r="E61" s="2">
        <v>13</v>
      </c>
      <c r="F61" s="2">
        <v>23</v>
      </c>
      <c r="G61" s="2">
        <v>35</v>
      </c>
      <c r="H61" s="2">
        <v>30</v>
      </c>
      <c r="J61" s="2"/>
      <c r="K61" s="2">
        <v>34</v>
      </c>
      <c r="L61" s="2">
        <v>19</v>
      </c>
      <c r="M61" s="2">
        <v>17</v>
      </c>
      <c r="N61" s="2">
        <v>22</v>
      </c>
      <c r="O61" s="2">
        <v>8</v>
      </c>
    </row>
    <row r="62" spans="1:15" x14ac:dyDescent="0.25">
      <c r="A62" s="36" t="s">
        <v>149</v>
      </c>
      <c r="B62" s="36" t="s">
        <v>150</v>
      </c>
      <c r="C62" s="2">
        <v>66</v>
      </c>
      <c r="D62" s="2">
        <v>34</v>
      </c>
      <c r="E62" s="2">
        <v>15</v>
      </c>
      <c r="F62" s="2">
        <v>20</v>
      </c>
      <c r="G62" s="2">
        <v>37</v>
      </c>
      <c r="H62" s="2">
        <v>27</v>
      </c>
      <c r="J62" s="2"/>
      <c r="K62" s="2">
        <v>4</v>
      </c>
      <c r="L62" s="2">
        <v>19</v>
      </c>
      <c r="M62" s="2">
        <v>37</v>
      </c>
      <c r="N62" s="2">
        <v>36</v>
      </c>
      <c r="O62" s="2">
        <v>3</v>
      </c>
    </row>
    <row r="63" spans="1:15" x14ac:dyDescent="0.25">
      <c r="A63" s="36" t="s">
        <v>151</v>
      </c>
      <c r="B63" s="36" t="s">
        <v>152</v>
      </c>
      <c r="C63" s="2">
        <v>71</v>
      </c>
      <c r="D63" s="2">
        <v>29</v>
      </c>
      <c r="E63" s="2">
        <v>15</v>
      </c>
      <c r="F63" s="2">
        <v>20</v>
      </c>
      <c r="G63" s="2">
        <v>38</v>
      </c>
      <c r="H63" s="2">
        <v>27</v>
      </c>
      <c r="J63" s="2"/>
      <c r="K63" s="2">
        <v>13</v>
      </c>
      <c r="L63" s="2">
        <v>34</v>
      </c>
      <c r="M63" s="2">
        <v>13</v>
      </c>
      <c r="N63" s="2">
        <v>22</v>
      </c>
      <c r="O63" s="2">
        <v>17</v>
      </c>
    </row>
    <row r="64" spans="1:15" x14ac:dyDescent="0.25">
      <c r="A64" s="36" t="s">
        <v>153</v>
      </c>
      <c r="B64" s="36" t="s">
        <v>154</v>
      </c>
      <c r="C64" s="2">
        <v>67</v>
      </c>
      <c r="D64" s="2">
        <v>33</v>
      </c>
      <c r="E64" s="2">
        <v>13</v>
      </c>
      <c r="F64" s="2">
        <v>21</v>
      </c>
      <c r="G64" s="2">
        <v>34</v>
      </c>
      <c r="H64" s="2">
        <v>33</v>
      </c>
      <c r="J64" s="2"/>
      <c r="K64" s="2">
        <v>11</v>
      </c>
      <c r="L64" s="2">
        <v>22</v>
      </c>
      <c r="M64" s="2">
        <v>31</v>
      </c>
      <c r="N64" s="2">
        <v>20</v>
      </c>
      <c r="O64" s="2">
        <v>15</v>
      </c>
    </row>
    <row r="65" spans="1:15" x14ac:dyDescent="0.25">
      <c r="A65" s="36" t="s">
        <v>155</v>
      </c>
      <c r="B65" s="36" t="s">
        <v>474</v>
      </c>
      <c r="C65" s="2">
        <v>68</v>
      </c>
      <c r="D65" s="2">
        <v>32</v>
      </c>
      <c r="E65" s="2">
        <v>19</v>
      </c>
      <c r="F65" s="2">
        <v>21</v>
      </c>
      <c r="G65" s="2">
        <v>38</v>
      </c>
      <c r="H65" s="2">
        <v>22</v>
      </c>
      <c r="J65" s="2"/>
      <c r="K65" s="2">
        <v>39</v>
      </c>
      <c r="L65" s="2">
        <v>22</v>
      </c>
      <c r="M65" s="2">
        <v>15</v>
      </c>
      <c r="N65" s="2">
        <v>16</v>
      </c>
      <c r="O65" s="2">
        <v>9</v>
      </c>
    </row>
    <row r="66" spans="1:15" x14ac:dyDescent="0.25">
      <c r="A66" s="36" t="s">
        <v>156</v>
      </c>
      <c r="B66" s="36" t="s">
        <v>157</v>
      </c>
      <c r="C66" s="2">
        <v>68</v>
      </c>
      <c r="D66" s="2">
        <v>32</v>
      </c>
      <c r="E66" s="2">
        <v>19</v>
      </c>
      <c r="F66" s="2">
        <v>21</v>
      </c>
      <c r="G66" s="2">
        <v>37</v>
      </c>
      <c r="H66" s="2">
        <v>23</v>
      </c>
      <c r="J66" s="2"/>
      <c r="K66" s="2">
        <v>37</v>
      </c>
      <c r="L66" s="2">
        <v>21</v>
      </c>
      <c r="M66" s="2">
        <v>12</v>
      </c>
      <c r="N66" s="2">
        <v>16</v>
      </c>
      <c r="O66" s="2">
        <v>15</v>
      </c>
    </row>
    <row r="67" spans="1:15" x14ac:dyDescent="0.25">
      <c r="A67" s="36" t="s">
        <v>158</v>
      </c>
      <c r="B67" s="36" t="s">
        <v>159</v>
      </c>
      <c r="C67" s="2">
        <v>75</v>
      </c>
      <c r="D67" s="2">
        <v>25</v>
      </c>
      <c r="E67" s="2">
        <v>12</v>
      </c>
      <c r="F67" s="2">
        <v>26</v>
      </c>
      <c r="G67" s="2">
        <v>37</v>
      </c>
      <c r="H67" s="2">
        <v>24</v>
      </c>
      <c r="J67" s="2"/>
      <c r="K67" s="2">
        <v>46</v>
      </c>
      <c r="L67" s="2">
        <v>20</v>
      </c>
      <c r="M67" s="2">
        <v>14</v>
      </c>
      <c r="N67" s="2">
        <v>14</v>
      </c>
      <c r="O67" s="2">
        <v>6</v>
      </c>
    </row>
    <row r="68" spans="1:15" x14ac:dyDescent="0.25">
      <c r="A68" s="36" t="s">
        <v>160</v>
      </c>
      <c r="B68" s="36" t="s">
        <v>161</v>
      </c>
      <c r="C68" s="2">
        <v>71</v>
      </c>
      <c r="D68" s="2">
        <v>29</v>
      </c>
      <c r="E68" s="2">
        <v>13</v>
      </c>
      <c r="F68" s="2">
        <v>24</v>
      </c>
      <c r="G68" s="2">
        <v>34</v>
      </c>
      <c r="H68" s="2">
        <v>29</v>
      </c>
      <c r="J68" s="2"/>
      <c r="K68" s="2">
        <v>7</v>
      </c>
      <c r="L68" s="2">
        <v>11</v>
      </c>
      <c r="M68" s="2">
        <v>19</v>
      </c>
      <c r="N68" s="2">
        <v>40</v>
      </c>
      <c r="O68" s="2">
        <v>23</v>
      </c>
    </row>
    <row r="69" spans="1:15" x14ac:dyDescent="0.25">
      <c r="A69" s="36" t="s">
        <v>162</v>
      </c>
      <c r="B69" s="36" t="s">
        <v>163</v>
      </c>
      <c r="C69" s="2">
        <v>70</v>
      </c>
      <c r="D69" s="2">
        <v>30</v>
      </c>
      <c r="E69" s="2">
        <v>13</v>
      </c>
      <c r="F69" s="2">
        <v>26</v>
      </c>
      <c r="G69" s="2">
        <v>38</v>
      </c>
      <c r="H69" s="2">
        <v>24</v>
      </c>
      <c r="J69" s="2"/>
      <c r="K69" s="2">
        <v>2</v>
      </c>
      <c r="L69" s="2">
        <v>17</v>
      </c>
      <c r="M69" s="2">
        <v>10</v>
      </c>
      <c r="N69" s="2">
        <v>26</v>
      </c>
      <c r="O69" s="2">
        <v>46</v>
      </c>
    </row>
    <row r="70" spans="1:15" x14ac:dyDescent="0.25">
      <c r="A70" s="36" t="s">
        <v>164</v>
      </c>
      <c r="B70" s="36" t="s">
        <v>165</v>
      </c>
      <c r="C70" s="2">
        <v>69</v>
      </c>
      <c r="D70" s="2">
        <v>31</v>
      </c>
      <c r="E70" s="2">
        <v>16</v>
      </c>
      <c r="F70" s="2">
        <v>15</v>
      </c>
      <c r="G70" s="2">
        <v>38</v>
      </c>
      <c r="H70" s="2">
        <v>32</v>
      </c>
      <c r="J70" s="2"/>
      <c r="K70" s="2">
        <v>17</v>
      </c>
      <c r="L70" s="2">
        <v>20</v>
      </c>
      <c r="M70" s="2">
        <v>25</v>
      </c>
      <c r="N70" s="2">
        <v>17</v>
      </c>
      <c r="O70" s="2">
        <v>22</v>
      </c>
    </row>
    <row r="71" spans="1:15" x14ac:dyDescent="0.25">
      <c r="A71" s="36" t="s">
        <v>166</v>
      </c>
      <c r="B71" s="36" t="s">
        <v>462</v>
      </c>
      <c r="C71" s="2">
        <v>72</v>
      </c>
      <c r="D71" s="2">
        <v>28</v>
      </c>
      <c r="E71" s="2">
        <v>15</v>
      </c>
      <c r="F71" s="2">
        <v>21</v>
      </c>
      <c r="G71" s="2">
        <v>35</v>
      </c>
      <c r="H71" s="2">
        <v>29</v>
      </c>
      <c r="J71" s="2"/>
      <c r="K71" s="2">
        <v>28</v>
      </c>
      <c r="L71" s="2">
        <v>21</v>
      </c>
      <c r="M71" s="2">
        <v>14</v>
      </c>
      <c r="N71" s="2">
        <v>22</v>
      </c>
      <c r="O71" s="2">
        <v>15</v>
      </c>
    </row>
    <row r="72" spans="1:15" x14ac:dyDescent="0.25">
      <c r="A72" s="36" t="s">
        <v>167</v>
      </c>
      <c r="B72" s="36" t="s">
        <v>168</v>
      </c>
      <c r="C72" s="2">
        <v>66</v>
      </c>
      <c r="D72" s="2">
        <v>34</v>
      </c>
      <c r="E72" s="2">
        <v>13</v>
      </c>
      <c r="F72" s="2">
        <v>22</v>
      </c>
      <c r="G72" s="2">
        <v>36</v>
      </c>
      <c r="H72" s="2">
        <v>29</v>
      </c>
      <c r="J72" s="2"/>
      <c r="K72" s="2">
        <v>14</v>
      </c>
      <c r="L72" s="2">
        <v>27</v>
      </c>
      <c r="M72" s="2">
        <v>23</v>
      </c>
      <c r="N72" s="2">
        <v>20</v>
      </c>
      <c r="O72" s="2">
        <v>16</v>
      </c>
    </row>
    <row r="73" spans="1:15" x14ac:dyDescent="0.25">
      <c r="A73" s="36" t="s">
        <v>169</v>
      </c>
      <c r="B73" s="36" t="s">
        <v>170</v>
      </c>
      <c r="C73" s="2">
        <v>71</v>
      </c>
      <c r="D73" s="2">
        <v>29</v>
      </c>
      <c r="E73" s="2">
        <v>15</v>
      </c>
      <c r="F73" s="2">
        <v>20</v>
      </c>
      <c r="G73" s="2">
        <v>37</v>
      </c>
      <c r="H73" s="2">
        <v>27</v>
      </c>
      <c r="J73" s="2"/>
      <c r="K73" s="2">
        <v>10</v>
      </c>
      <c r="L73" s="2">
        <v>18</v>
      </c>
      <c r="M73" s="2">
        <v>31</v>
      </c>
      <c r="N73" s="2">
        <v>24</v>
      </c>
      <c r="O73" s="2">
        <v>18</v>
      </c>
    </row>
    <row r="74" spans="1:15" x14ac:dyDescent="0.25">
      <c r="A74" s="36" t="s">
        <v>171</v>
      </c>
      <c r="B74" s="36" t="s">
        <v>172</v>
      </c>
      <c r="C74" s="2">
        <v>70</v>
      </c>
      <c r="D74" s="2">
        <v>30</v>
      </c>
      <c r="E74" s="2">
        <v>13</v>
      </c>
      <c r="F74" s="2">
        <v>22</v>
      </c>
      <c r="G74" s="2">
        <v>44</v>
      </c>
      <c r="H74" s="2">
        <v>22</v>
      </c>
      <c r="J74" s="2"/>
      <c r="K74" s="2">
        <v>15</v>
      </c>
      <c r="L74" s="2">
        <v>15</v>
      </c>
      <c r="M74" s="2">
        <v>19</v>
      </c>
      <c r="N74" s="2">
        <v>35</v>
      </c>
      <c r="O74" s="2">
        <v>17</v>
      </c>
    </row>
    <row r="75" spans="1:15" x14ac:dyDescent="0.25">
      <c r="A75" s="36" t="s">
        <v>173</v>
      </c>
      <c r="B75" s="36" t="s">
        <v>174</v>
      </c>
      <c r="C75" s="2">
        <v>66</v>
      </c>
      <c r="D75" s="2">
        <v>34</v>
      </c>
      <c r="E75" s="2">
        <v>5</v>
      </c>
      <c r="F75" s="2">
        <v>28</v>
      </c>
      <c r="G75" s="2">
        <v>34</v>
      </c>
      <c r="H75" s="2">
        <v>33</v>
      </c>
      <c r="J75" s="2"/>
      <c r="K75" s="2">
        <v>1</v>
      </c>
      <c r="L75" s="2">
        <v>12</v>
      </c>
      <c r="M75" s="2">
        <v>32</v>
      </c>
      <c r="N75" s="2">
        <v>33</v>
      </c>
      <c r="O75" s="2">
        <v>22</v>
      </c>
    </row>
    <row r="76" spans="1:15" x14ac:dyDescent="0.25">
      <c r="A76" s="36" t="s">
        <v>175</v>
      </c>
      <c r="B76" s="36" t="s">
        <v>176</v>
      </c>
      <c r="C76" s="2">
        <v>74</v>
      </c>
      <c r="D76" s="2">
        <v>26</v>
      </c>
      <c r="E76" s="2">
        <v>13</v>
      </c>
      <c r="F76" s="2">
        <v>26</v>
      </c>
      <c r="G76" s="2">
        <v>36</v>
      </c>
      <c r="H76" s="2">
        <v>25</v>
      </c>
      <c r="J76" s="2"/>
      <c r="K76" s="2">
        <v>33</v>
      </c>
      <c r="L76" s="2">
        <v>22</v>
      </c>
      <c r="M76" s="2">
        <v>21</v>
      </c>
      <c r="N76" s="2">
        <v>17</v>
      </c>
      <c r="O76" s="2">
        <v>6</v>
      </c>
    </row>
    <row r="77" spans="1:15" x14ac:dyDescent="0.25">
      <c r="A77" s="36" t="s">
        <v>177</v>
      </c>
      <c r="B77" s="36" t="s">
        <v>178</v>
      </c>
      <c r="C77" s="2">
        <v>72</v>
      </c>
      <c r="D77" s="2">
        <v>28</v>
      </c>
      <c r="E77" s="2">
        <v>14</v>
      </c>
      <c r="F77" s="2">
        <v>24</v>
      </c>
      <c r="G77" s="2">
        <v>34</v>
      </c>
      <c r="H77" s="2">
        <v>29</v>
      </c>
      <c r="J77" s="2"/>
      <c r="K77" s="2">
        <v>19</v>
      </c>
      <c r="L77" s="2">
        <v>38</v>
      </c>
      <c r="M77" s="2">
        <v>15</v>
      </c>
      <c r="N77" s="2">
        <v>14</v>
      </c>
      <c r="O77" s="2">
        <v>14</v>
      </c>
    </row>
    <row r="78" spans="1:15" x14ac:dyDescent="0.25">
      <c r="A78" s="36" t="s">
        <v>179</v>
      </c>
      <c r="B78" s="36" t="s">
        <v>480</v>
      </c>
      <c r="C78" s="2">
        <v>67</v>
      </c>
      <c r="D78" s="2">
        <v>33</v>
      </c>
      <c r="E78" s="2">
        <v>23</v>
      </c>
      <c r="F78" s="2">
        <v>24</v>
      </c>
      <c r="G78" s="2">
        <v>21</v>
      </c>
      <c r="H78" s="2">
        <v>32</v>
      </c>
      <c r="J78" s="2"/>
      <c r="K78" s="2">
        <v>3</v>
      </c>
      <c r="L78" s="2">
        <v>11</v>
      </c>
      <c r="M78" s="2">
        <v>21</v>
      </c>
      <c r="N78" s="2">
        <v>29</v>
      </c>
      <c r="O78" s="2">
        <v>36</v>
      </c>
    </row>
    <row r="79" spans="1:15" x14ac:dyDescent="0.25">
      <c r="A79" s="36" t="s">
        <v>180</v>
      </c>
      <c r="B79" s="36" t="s">
        <v>181</v>
      </c>
      <c r="C79" s="2">
        <v>62</v>
      </c>
      <c r="D79" s="2">
        <v>38</v>
      </c>
      <c r="E79" s="2">
        <v>28</v>
      </c>
      <c r="F79" s="2">
        <v>20</v>
      </c>
      <c r="G79" s="2">
        <v>30</v>
      </c>
      <c r="H79" s="2">
        <v>23</v>
      </c>
      <c r="J79" s="2"/>
      <c r="K79" s="2">
        <v>11</v>
      </c>
      <c r="L79" s="2">
        <v>35</v>
      </c>
      <c r="M79" s="2">
        <v>27</v>
      </c>
      <c r="N79" s="2">
        <v>16</v>
      </c>
      <c r="O79" s="2">
        <v>11</v>
      </c>
    </row>
    <row r="80" spans="1:15" x14ac:dyDescent="0.25">
      <c r="A80" s="36" t="s">
        <v>182</v>
      </c>
      <c r="B80" s="36" t="s">
        <v>476</v>
      </c>
      <c r="C80" s="2">
        <v>71</v>
      </c>
      <c r="D80" s="2">
        <v>29</v>
      </c>
      <c r="E80" s="2">
        <v>13</v>
      </c>
      <c r="F80" s="2">
        <v>20</v>
      </c>
      <c r="G80" s="2">
        <v>41</v>
      </c>
      <c r="H80" s="2">
        <v>26</v>
      </c>
      <c r="J80" s="2"/>
      <c r="K80" s="2">
        <v>1</v>
      </c>
      <c r="L80" s="2">
        <v>21</v>
      </c>
      <c r="M80" s="2">
        <v>24</v>
      </c>
      <c r="N80" s="2">
        <v>29</v>
      </c>
      <c r="O80" s="2">
        <v>26</v>
      </c>
    </row>
    <row r="81" spans="1:15" x14ac:dyDescent="0.25">
      <c r="A81" s="36" t="s">
        <v>183</v>
      </c>
      <c r="B81" s="36" t="s">
        <v>466</v>
      </c>
      <c r="C81" s="2">
        <v>58</v>
      </c>
      <c r="D81" s="2">
        <v>42</v>
      </c>
      <c r="E81" s="2">
        <v>35</v>
      </c>
      <c r="F81" s="2">
        <v>25</v>
      </c>
      <c r="G81" s="2">
        <v>19</v>
      </c>
      <c r="H81" s="2">
        <v>21</v>
      </c>
      <c r="J81" s="2"/>
      <c r="K81" s="2">
        <v>44</v>
      </c>
      <c r="L81" s="2">
        <v>44</v>
      </c>
      <c r="M81" s="2">
        <v>11</v>
      </c>
      <c r="N81" s="2">
        <v>2</v>
      </c>
      <c r="O81" s="2">
        <v>0</v>
      </c>
    </row>
    <row r="82" spans="1:15" x14ac:dyDescent="0.25">
      <c r="A82" s="36" t="s">
        <v>184</v>
      </c>
      <c r="B82" s="36" t="s">
        <v>185</v>
      </c>
      <c r="C82" s="2">
        <v>69</v>
      </c>
      <c r="D82" s="2">
        <v>31</v>
      </c>
      <c r="E82" s="2">
        <v>11</v>
      </c>
      <c r="F82" s="2">
        <v>23</v>
      </c>
      <c r="G82" s="2">
        <v>36</v>
      </c>
      <c r="H82" s="2">
        <v>31</v>
      </c>
      <c r="J82" s="2"/>
      <c r="K82" s="2">
        <v>27</v>
      </c>
      <c r="L82" s="2">
        <v>25</v>
      </c>
      <c r="M82" s="2">
        <v>14</v>
      </c>
      <c r="N82" s="2">
        <v>22</v>
      </c>
      <c r="O82" s="2">
        <v>12</v>
      </c>
    </row>
    <row r="83" spans="1:15" x14ac:dyDescent="0.25">
      <c r="A83" s="36" t="s">
        <v>186</v>
      </c>
      <c r="B83" s="36" t="s">
        <v>187</v>
      </c>
      <c r="C83" s="2">
        <v>64</v>
      </c>
      <c r="D83" s="2">
        <v>36</v>
      </c>
      <c r="E83" s="2">
        <v>19</v>
      </c>
      <c r="F83" s="2">
        <v>27</v>
      </c>
      <c r="G83" s="2">
        <v>33</v>
      </c>
      <c r="H83" s="2">
        <v>21</v>
      </c>
      <c r="J83" s="2"/>
      <c r="K83" s="2">
        <v>30</v>
      </c>
      <c r="L83" s="2">
        <v>17</v>
      </c>
      <c r="M83" s="2">
        <v>18</v>
      </c>
      <c r="N83" s="2">
        <v>19</v>
      </c>
      <c r="O83" s="2">
        <v>16</v>
      </c>
    </row>
    <row r="84" spans="1:15" x14ac:dyDescent="0.25">
      <c r="A84" s="36" t="s">
        <v>188</v>
      </c>
      <c r="B84" s="36" t="s">
        <v>189</v>
      </c>
      <c r="C84" s="2">
        <v>66</v>
      </c>
      <c r="D84" s="2">
        <v>34</v>
      </c>
      <c r="E84" s="2">
        <v>11</v>
      </c>
      <c r="F84" s="2">
        <v>24</v>
      </c>
      <c r="G84" s="2">
        <v>33</v>
      </c>
      <c r="H84" s="2">
        <v>31</v>
      </c>
      <c r="J84" s="2"/>
      <c r="K84" s="2">
        <v>29</v>
      </c>
      <c r="L84" s="2">
        <v>22</v>
      </c>
      <c r="M84" s="2">
        <v>13</v>
      </c>
      <c r="N84" s="2">
        <v>18</v>
      </c>
      <c r="O84" s="2">
        <v>19</v>
      </c>
    </row>
    <row r="85" spans="1:15" x14ac:dyDescent="0.25">
      <c r="A85" s="36" t="s">
        <v>190</v>
      </c>
      <c r="B85" s="36" t="s">
        <v>191</v>
      </c>
      <c r="C85" s="2">
        <v>64</v>
      </c>
      <c r="D85" s="2">
        <v>36</v>
      </c>
      <c r="E85" s="2">
        <v>17</v>
      </c>
      <c r="F85" s="2">
        <v>24</v>
      </c>
      <c r="G85" s="2">
        <v>33</v>
      </c>
      <c r="H85" s="2">
        <v>25</v>
      </c>
      <c r="J85" s="2"/>
      <c r="K85" s="2">
        <v>39</v>
      </c>
      <c r="L85" s="2">
        <v>19</v>
      </c>
      <c r="M85" s="2">
        <v>16</v>
      </c>
      <c r="N85" s="2">
        <v>13</v>
      </c>
      <c r="O85" s="2">
        <v>13</v>
      </c>
    </row>
    <row r="86" spans="1:15" x14ac:dyDescent="0.25">
      <c r="A86" s="36" t="s">
        <v>192</v>
      </c>
      <c r="B86" s="36" t="s">
        <v>193</v>
      </c>
      <c r="C86" s="2">
        <v>76</v>
      </c>
      <c r="D86" s="2">
        <v>24</v>
      </c>
      <c r="E86" s="2">
        <v>32</v>
      </c>
      <c r="F86" s="2">
        <v>31</v>
      </c>
      <c r="G86" s="2">
        <v>24</v>
      </c>
      <c r="H86" s="2">
        <v>13</v>
      </c>
      <c r="J86" s="2"/>
      <c r="K86" s="2">
        <v>18</v>
      </c>
      <c r="L86" s="2">
        <v>25</v>
      </c>
      <c r="M86" s="2">
        <v>28</v>
      </c>
      <c r="N86" s="2">
        <v>12</v>
      </c>
      <c r="O86" s="2">
        <v>17</v>
      </c>
    </row>
    <row r="87" spans="1:15" x14ac:dyDescent="0.25">
      <c r="A87" s="36" t="s">
        <v>194</v>
      </c>
      <c r="B87" s="36" t="s">
        <v>472</v>
      </c>
      <c r="C87" s="2">
        <v>63</v>
      </c>
      <c r="D87" s="2">
        <v>37</v>
      </c>
      <c r="E87" s="2">
        <v>9</v>
      </c>
      <c r="F87" s="2">
        <v>29</v>
      </c>
      <c r="G87" s="2">
        <v>37</v>
      </c>
      <c r="H87" s="2">
        <v>24</v>
      </c>
      <c r="J87" s="2"/>
      <c r="K87" s="2">
        <v>31</v>
      </c>
      <c r="L87" s="2">
        <v>17</v>
      </c>
      <c r="M87" s="2">
        <v>18</v>
      </c>
      <c r="N87" s="2">
        <v>15</v>
      </c>
      <c r="O87" s="2">
        <v>19</v>
      </c>
    </row>
    <row r="88" spans="1:15" x14ac:dyDescent="0.25">
      <c r="A88" s="36" t="s">
        <v>195</v>
      </c>
      <c r="B88" s="36" t="s">
        <v>196</v>
      </c>
      <c r="C88" s="2">
        <v>68</v>
      </c>
      <c r="D88" s="2">
        <v>32</v>
      </c>
      <c r="E88" s="2">
        <v>12</v>
      </c>
      <c r="F88" s="2">
        <v>22</v>
      </c>
      <c r="G88" s="2">
        <v>41</v>
      </c>
      <c r="H88" s="2">
        <v>26</v>
      </c>
      <c r="J88" s="2"/>
      <c r="K88" s="2">
        <v>9</v>
      </c>
      <c r="L88" s="2">
        <v>9</v>
      </c>
      <c r="M88" s="2">
        <v>24</v>
      </c>
      <c r="N88" s="2">
        <v>24</v>
      </c>
      <c r="O88" s="2">
        <v>33</v>
      </c>
    </row>
    <row r="89" spans="1:15" x14ac:dyDescent="0.25">
      <c r="A89" s="36" t="s">
        <v>197</v>
      </c>
      <c r="B89" s="36" t="s">
        <v>198</v>
      </c>
      <c r="C89" s="2">
        <v>69</v>
      </c>
      <c r="D89" s="2">
        <v>31</v>
      </c>
      <c r="E89" s="2">
        <v>11</v>
      </c>
      <c r="F89" s="2">
        <v>24</v>
      </c>
      <c r="G89" s="2">
        <v>37</v>
      </c>
      <c r="H89" s="2">
        <v>28</v>
      </c>
      <c r="J89" s="2"/>
      <c r="K89" s="2">
        <v>18</v>
      </c>
      <c r="L89" s="2">
        <v>28</v>
      </c>
      <c r="M89" s="2">
        <v>18</v>
      </c>
      <c r="N89" s="2">
        <v>18</v>
      </c>
      <c r="O89" s="2">
        <v>19</v>
      </c>
    </row>
    <row r="90" spans="1:15" x14ac:dyDescent="0.25">
      <c r="A90" s="36" t="s">
        <v>199</v>
      </c>
      <c r="B90" s="36" t="s">
        <v>484</v>
      </c>
      <c r="C90" s="2">
        <v>72</v>
      </c>
      <c r="D90" s="2">
        <v>28</v>
      </c>
      <c r="E90" s="2">
        <v>15</v>
      </c>
      <c r="F90" s="2">
        <v>23</v>
      </c>
      <c r="G90" s="2">
        <v>37</v>
      </c>
      <c r="H90" s="2">
        <v>26</v>
      </c>
      <c r="J90" s="2"/>
      <c r="K90" s="2">
        <v>15</v>
      </c>
      <c r="L90" s="2">
        <v>18</v>
      </c>
      <c r="M90" s="2">
        <v>23</v>
      </c>
      <c r="N90" s="2">
        <v>19</v>
      </c>
      <c r="O90" s="2">
        <v>26</v>
      </c>
    </row>
    <row r="91" spans="1:15" x14ac:dyDescent="0.25">
      <c r="A91" s="36" t="s">
        <v>200</v>
      </c>
      <c r="B91" s="36" t="s">
        <v>201</v>
      </c>
      <c r="C91" s="2">
        <v>68</v>
      </c>
      <c r="D91" s="2">
        <v>32</v>
      </c>
      <c r="E91" s="2">
        <v>15</v>
      </c>
      <c r="F91" s="2">
        <v>24</v>
      </c>
      <c r="G91" s="2">
        <v>35</v>
      </c>
      <c r="H91" s="2">
        <v>26</v>
      </c>
      <c r="J91" s="2"/>
      <c r="K91" s="2">
        <v>4</v>
      </c>
      <c r="L91" s="2">
        <v>6</v>
      </c>
      <c r="M91" s="2">
        <v>15</v>
      </c>
      <c r="N91" s="2">
        <v>23</v>
      </c>
      <c r="O91" s="2">
        <v>51</v>
      </c>
    </row>
    <row r="92" spans="1:15" x14ac:dyDescent="0.25">
      <c r="A92" s="36" t="s">
        <v>202</v>
      </c>
      <c r="B92" s="36" t="s">
        <v>203</v>
      </c>
      <c r="C92" s="2">
        <v>70</v>
      </c>
      <c r="D92" s="2">
        <v>30</v>
      </c>
      <c r="E92" s="2">
        <v>23</v>
      </c>
      <c r="F92" s="2">
        <v>19</v>
      </c>
      <c r="G92" s="2">
        <v>31</v>
      </c>
      <c r="H92" s="2">
        <v>27</v>
      </c>
      <c r="J92" s="2"/>
      <c r="K92" s="2">
        <v>1</v>
      </c>
      <c r="L92" s="2">
        <v>17</v>
      </c>
      <c r="M92" s="2">
        <v>25</v>
      </c>
      <c r="N92" s="2">
        <v>21</v>
      </c>
      <c r="O92" s="2">
        <v>37</v>
      </c>
    </row>
    <row r="93" spans="1:15" x14ac:dyDescent="0.25">
      <c r="A93" s="36" t="s">
        <v>204</v>
      </c>
      <c r="B93" s="36" t="s">
        <v>205</v>
      </c>
      <c r="C93" s="2">
        <v>66</v>
      </c>
      <c r="D93" s="2">
        <v>34</v>
      </c>
      <c r="E93" s="2">
        <v>13</v>
      </c>
      <c r="F93" s="2">
        <v>31</v>
      </c>
      <c r="G93" s="2">
        <v>30</v>
      </c>
      <c r="H93" s="2">
        <v>26</v>
      </c>
      <c r="J93" s="2"/>
      <c r="K93" s="2">
        <v>2</v>
      </c>
      <c r="L93" s="2">
        <v>17</v>
      </c>
      <c r="M93" s="2">
        <v>26</v>
      </c>
      <c r="N93" s="2">
        <v>20</v>
      </c>
      <c r="O93" s="2">
        <v>35</v>
      </c>
    </row>
    <row r="94" spans="1:15" x14ac:dyDescent="0.25">
      <c r="A94" s="36" t="s">
        <v>206</v>
      </c>
      <c r="B94" s="36" t="s">
        <v>207</v>
      </c>
      <c r="C94" s="2">
        <v>67</v>
      </c>
      <c r="D94" s="2">
        <v>33</v>
      </c>
      <c r="E94" s="2">
        <v>13</v>
      </c>
      <c r="F94" s="2">
        <v>26</v>
      </c>
      <c r="G94" s="2">
        <v>38</v>
      </c>
      <c r="H94" s="2">
        <v>23</v>
      </c>
      <c r="J94" s="2"/>
      <c r="K94" s="2">
        <v>30</v>
      </c>
      <c r="L94" s="2">
        <v>17</v>
      </c>
      <c r="M94" s="2">
        <v>19</v>
      </c>
      <c r="N94" s="2">
        <v>23</v>
      </c>
      <c r="O94" s="2">
        <v>11</v>
      </c>
    </row>
    <row r="95" spans="1:15" x14ac:dyDescent="0.25">
      <c r="A95" s="36" t="s">
        <v>208</v>
      </c>
      <c r="B95" s="36" t="s">
        <v>486</v>
      </c>
      <c r="C95" s="2">
        <v>69</v>
      </c>
      <c r="D95" s="2">
        <v>31</v>
      </c>
      <c r="E95" s="2">
        <v>14</v>
      </c>
      <c r="F95" s="2">
        <v>20</v>
      </c>
      <c r="G95" s="2">
        <v>36</v>
      </c>
      <c r="H95" s="2">
        <v>30</v>
      </c>
      <c r="J95" s="2"/>
      <c r="K95" s="2">
        <v>20</v>
      </c>
      <c r="L95" s="2">
        <v>15</v>
      </c>
      <c r="M95" s="2">
        <v>18</v>
      </c>
      <c r="N95" s="2">
        <v>32</v>
      </c>
      <c r="O95" s="2">
        <v>14</v>
      </c>
    </row>
    <row r="96" spans="1:15" x14ac:dyDescent="0.25">
      <c r="A96" s="36" t="s">
        <v>209</v>
      </c>
      <c r="B96" s="36" t="s">
        <v>210</v>
      </c>
      <c r="C96" s="2">
        <v>76</v>
      </c>
      <c r="D96" s="2">
        <v>24</v>
      </c>
      <c r="E96" s="2">
        <v>13</v>
      </c>
      <c r="F96" s="2">
        <v>16</v>
      </c>
      <c r="G96" s="2">
        <v>42</v>
      </c>
      <c r="H96" s="2">
        <v>29</v>
      </c>
      <c r="J96" s="2"/>
      <c r="K96" s="2">
        <v>14</v>
      </c>
      <c r="L96" s="2">
        <v>23</v>
      </c>
      <c r="M96" s="2">
        <v>17</v>
      </c>
      <c r="N96" s="2">
        <v>12</v>
      </c>
      <c r="O96" s="2">
        <v>35</v>
      </c>
    </row>
    <row r="97" spans="1:15" x14ac:dyDescent="0.25">
      <c r="A97" s="36" t="s">
        <v>211</v>
      </c>
      <c r="B97" s="36" t="s">
        <v>463</v>
      </c>
      <c r="C97" s="2">
        <v>68</v>
      </c>
      <c r="D97" s="2">
        <v>32</v>
      </c>
      <c r="E97" s="2">
        <v>16</v>
      </c>
      <c r="F97" s="2">
        <v>28</v>
      </c>
      <c r="G97" s="2">
        <v>35</v>
      </c>
      <c r="H97" s="2">
        <v>21</v>
      </c>
      <c r="J97" s="2"/>
      <c r="K97" s="2">
        <v>1</v>
      </c>
      <c r="L97" s="2">
        <v>11</v>
      </c>
      <c r="M97" s="2">
        <v>13</v>
      </c>
      <c r="N97" s="2">
        <v>26</v>
      </c>
      <c r="O97" s="2">
        <v>50</v>
      </c>
    </row>
    <row r="98" spans="1:15" x14ac:dyDescent="0.25">
      <c r="A98" s="36" t="s">
        <v>212</v>
      </c>
      <c r="B98" s="36" t="s">
        <v>213</v>
      </c>
      <c r="C98" s="2">
        <v>67</v>
      </c>
      <c r="D98" s="2">
        <v>33</v>
      </c>
      <c r="E98" s="2">
        <v>11</v>
      </c>
      <c r="F98" s="2">
        <v>20</v>
      </c>
      <c r="G98" s="2">
        <v>44</v>
      </c>
      <c r="H98" s="2">
        <v>24</v>
      </c>
      <c r="J98" s="2"/>
      <c r="K98" s="2">
        <v>20</v>
      </c>
      <c r="L98" s="2">
        <v>22</v>
      </c>
      <c r="M98" s="2">
        <v>24</v>
      </c>
      <c r="N98" s="2">
        <v>27</v>
      </c>
      <c r="O98" s="2">
        <v>8</v>
      </c>
    </row>
    <row r="99" spans="1:15" x14ac:dyDescent="0.25">
      <c r="A99" s="36" t="s">
        <v>214</v>
      </c>
      <c r="B99" s="36" t="s">
        <v>473</v>
      </c>
      <c r="C99" s="2">
        <v>69</v>
      </c>
      <c r="D99" s="2">
        <v>31</v>
      </c>
      <c r="E99" s="2">
        <v>14</v>
      </c>
      <c r="F99" s="2">
        <v>32</v>
      </c>
      <c r="G99" s="2">
        <v>31</v>
      </c>
      <c r="H99" s="2">
        <v>23</v>
      </c>
      <c r="J99" s="2"/>
      <c r="K99" s="2">
        <v>49</v>
      </c>
      <c r="L99" s="2">
        <v>18</v>
      </c>
      <c r="M99" s="2">
        <v>9</v>
      </c>
      <c r="N99" s="2">
        <v>14</v>
      </c>
      <c r="O99" s="2">
        <v>11</v>
      </c>
    </row>
    <row r="100" spans="1:15" x14ac:dyDescent="0.25">
      <c r="A100" s="36" t="s">
        <v>215</v>
      </c>
      <c r="B100" s="36" t="s">
        <v>216</v>
      </c>
      <c r="C100" s="2">
        <v>73</v>
      </c>
      <c r="D100" s="2">
        <v>27</v>
      </c>
      <c r="E100" s="2">
        <v>18</v>
      </c>
      <c r="F100" s="2">
        <v>24</v>
      </c>
      <c r="G100" s="2">
        <v>30</v>
      </c>
      <c r="H100" s="2">
        <v>28</v>
      </c>
      <c r="J100" s="2"/>
      <c r="K100" s="2">
        <v>25</v>
      </c>
      <c r="L100" s="2">
        <v>20</v>
      </c>
      <c r="M100" s="2">
        <v>18</v>
      </c>
      <c r="N100" s="2">
        <v>19</v>
      </c>
      <c r="O100" s="2">
        <v>18</v>
      </c>
    </row>
    <row r="101" spans="1:15" x14ac:dyDescent="0.25">
      <c r="A101" s="36" t="s">
        <v>217</v>
      </c>
      <c r="B101" s="36" t="s">
        <v>218</v>
      </c>
      <c r="C101" s="2">
        <v>70</v>
      </c>
      <c r="D101" s="2">
        <v>30</v>
      </c>
      <c r="E101" s="2">
        <v>14</v>
      </c>
      <c r="F101" s="2">
        <v>23</v>
      </c>
      <c r="G101" s="2">
        <v>36</v>
      </c>
      <c r="H101" s="2">
        <v>27</v>
      </c>
      <c r="J101" s="2"/>
      <c r="K101" s="2">
        <v>17</v>
      </c>
      <c r="L101" s="2">
        <v>22</v>
      </c>
      <c r="M101" s="2">
        <v>25</v>
      </c>
      <c r="N101" s="2">
        <v>20</v>
      </c>
      <c r="O101" s="2">
        <v>15</v>
      </c>
    </row>
    <row r="102" spans="1:15" x14ac:dyDescent="0.25">
      <c r="A102" s="36" t="s">
        <v>219</v>
      </c>
      <c r="B102" s="36" t="s">
        <v>485</v>
      </c>
      <c r="C102" s="2">
        <v>69</v>
      </c>
      <c r="D102" s="2">
        <v>31</v>
      </c>
      <c r="E102" s="2">
        <v>12</v>
      </c>
      <c r="F102" s="2">
        <v>28</v>
      </c>
      <c r="G102" s="2">
        <v>34</v>
      </c>
      <c r="H102" s="2">
        <v>25</v>
      </c>
      <c r="J102" s="2"/>
      <c r="K102" s="2">
        <v>13</v>
      </c>
      <c r="L102" s="2">
        <v>15</v>
      </c>
      <c r="M102" s="2">
        <v>19</v>
      </c>
      <c r="N102" s="2">
        <v>30</v>
      </c>
      <c r="O102" s="2">
        <v>24</v>
      </c>
    </row>
    <row r="103" spans="1:15" x14ac:dyDescent="0.25">
      <c r="A103" s="36" t="s">
        <v>220</v>
      </c>
      <c r="B103" s="36" t="s">
        <v>221</v>
      </c>
      <c r="C103" s="2">
        <v>70</v>
      </c>
      <c r="D103" s="2">
        <v>30</v>
      </c>
      <c r="E103" s="2">
        <v>13</v>
      </c>
      <c r="F103" s="2">
        <v>22</v>
      </c>
      <c r="G103" s="2">
        <v>37</v>
      </c>
      <c r="H103" s="2">
        <v>28</v>
      </c>
      <c r="J103" s="2"/>
      <c r="K103" s="2">
        <v>6</v>
      </c>
      <c r="L103" s="2">
        <v>9</v>
      </c>
      <c r="M103" s="2">
        <v>26</v>
      </c>
      <c r="N103" s="2">
        <v>28</v>
      </c>
      <c r="O103" s="2">
        <v>31</v>
      </c>
    </row>
    <row r="104" spans="1:15" x14ac:dyDescent="0.25">
      <c r="A104" s="36" t="s">
        <v>222</v>
      </c>
      <c r="B104" s="36" t="s">
        <v>490</v>
      </c>
      <c r="C104" s="2">
        <v>73</v>
      </c>
      <c r="D104" s="2">
        <v>28</v>
      </c>
      <c r="E104" s="2">
        <v>16</v>
      </c>
      <c r="F104" s="2">
        <v>23</v>
      </c>
      <c r="G104" s="2">
        <v>37</v>
      </c>
      <c r="H104" s="2">
        <v>25</v>
      </c>
      <c r="J104" s="2"/>
      <c r="K104" s="2">
        <v>4</v>
      </c>
      <c r="L104" s="2">
        <v>10</v>
      </c>
      <c r="M104" s="2">
        <v>27</v>
      </c>
      <c r="N104" s="2">
        <v>28</v>
      </c>
      <c r="O104" s="2">
        <v>31</v>
      </c>
    </row>
    <row r="105" spans="1:15" x14ac:dyDescent="0.25">
      <c r="A105" s="36" t="s">
        <v>223</v>
      </c>
      <c r="B105" s="36" t="s">
        <v>224</v>
      </c>
      <c r="C105" s="2">
        <v>72</v>
      </c>
      <c r="D105" s="2">
        <v>28</v>
      </c>
      <c r="E105" s="2">
        <v>18</v>
      </c>
      <c r="F105" s="2">
        <v>19</v>
      </c>
      <c r="G105" s="2">
        <v>37</v>
      </c>
      <c r="H105" s="2">
        <v>26</v>
      </c>
      <c r="J105" s="2"/>
      <c r="K105" s="2">
        <v>1</v>
      </c>
      <c r="L105" s="2">
        <v>16</v>
      </c>
      <c r="M105" s="2">
        <v>27</v>
      </c>
      <c r="N105" s="2">
        <v>21</v>
      </c>
      <c r="O105" s="2">
        <v>36</v>
      </c>
    </row>
    <row r="106" spans="1:15" x14ac:dyDescent="0.25">
      <c r="A106" s="36" t="s">
        <v>225</v>
      </c>
      <c r="B106" s="36" t="s">
        <v>226</v>
      </c>
      <c r="C106" s="2">
        <v>69</v>
      </c>
      <c r="D106" s="2">
        <v>31</v>
      </c>
      <c r="E106" s="2">
        <v>15</v>
      </c>
      <c r="F106" s="2">
        <v>16</v>
      </c>
      <c r="G106" s="2">
        <v>34</v>
      </c>
      <c r="H106" s="2">
        <v>35</v>
      </c>
      <c r="J106" s="2"/>
      <c r="K106" s="2">
        <v>13</v>
      </c>
      <c r="L106" s="2">
        <v>13</v>
      </c>
      <c r="M106" s="2">
        <v>15</v>
      </c>
      <c r="N106" s="2">
        <v>27</v>
      </c>
      <c r="O106" s="2">
        <v>33</v>
      </c>
    </row>
    <row r="107" spans="1:15" x14ac:dyDescent="0.25">
      <c r="A107" s="36" t="s">
        <v>227</v>
      </c>
      <c r="B107" s="36" t="s">
        <v>228</v>
      </c>
      <c r="C107" s="2">
        <v>69</v>
      </c>
      <c r="D107" s="2">
        <v>31</v>
      </c>
      <c r="E107" s="2">
        <v>13</v>
      </c>
      <c r="F107" s="2">
        <v>17</v>
      </c>
      <c r="G107" s="2">
        <v>39</v>
      </c>
      <c r="H107" s="2">
        <v>31</v>
      </c>
      <c r="J107" s="2"/>
      <c r="K107" s="2">
        <v>14</v>
      </c>
      <c r="L107" s="2">
        <v>13</v>
      </c>
      <c r="M107" s="2">
        <v>26</v>
      </c>
      <c r="N107" s="2">
        <v>22</v>
      </c>
      <c r="O107" s="2">
        <v>24</v>
      </c>
    </row>
    <row r="108" spans="1:15" x14ac:dyDescent="0.25">
      <c r="A108" s="36" t="s">
        <v>229</v>
      </c>
      <c r="B108" s="36" t="s">
        <v>489</v>
      </c>
      <c r="C108" s="2">
        <v>64</v>
      </c>
      <c r="D108" s="2">
        <v>36</v>
      </c>
      <c r="E108" s="2">
        <v>17</v>
      </c>
      <c r="F108" s="2">
        <v>25</v>
      </c>
      <c r="G108" s="2">
        <v>35</v>
      </c>
      <c r="H108" s="2">
        <v>23</v>
      </c>
      <c r="J108" s="2"/>
      <c r="K108" s="2">
        <v>23</v>
      </c>
      <c r="L108" s="2">
        <v>17</v>
      </c>
      <c r="M108" s="2">
        <v>14</v>
      </c>
      <c r="N108" s="2">
        <v>27</v>
      </c>
      <c r="O108" s="2">
        <v>19</v>
      </c>
    </row>
    <row r="109" spans="1:15" x14ac:dyDescent="0.25">
      <c r="A109" s="36" t="s">
        <v>230</v>
      </c>
      <c r="B109" s="36" t="s">
        <v>459</v>
      </c>
      <c r="C109" s="2">
        <v>65</v>
      </c>
      <c r="D109" s="2">
        <v>35</v>
      </c>
      <c r="E109" s="2">
        <v>14</v>
      </c>
      <c r="F109" s="2">
        <v>23</v>
      </c>
      <c r="G109" s="2">
        <v>39</v>
      </c>
      <c r="H109" s="2">
        <v>24</v>
      </c>
      <c r="J109" s="2"/>
      <c r="K109" s="2">
        <v>23</v>
      </c>
      <c r="L109" s="2">
        <v>20</v>
      </c>
      <c r="M109" s="2">
        <v>31</v>
      </c>
      <c r="N109" s="2">
        <v>16</v>
      </c>
      <c r="O109" s="2">
        <v>11</v>
      </c>
    </row>
    <row r="110" spans="1:15" x14ac:dyDescent="0.25">
      <c r="A110" s="36" t="s">
        <v>231</v>
      </c>
      <c r="B110" s="36" t="s">
        <v>232</v>
      </c>
      <c r="C110" s="2">
        <v>67</v>
      </c>
      <c r="D110" s="2">
        <v>33</v>
      </c>
      <c r="E110" s="2">
        <v>17</v>
      </c>
      <c r="F110" s="2">
        <v>25</v>
      </c>
      <c r="G110" s="2">
        <v>34</v>
      </c>
      <c r="H110" s="2">
        <v>25</v>
      </c>
      <c r="J110" s="2"/>
      <c r="K110" s="2">
        <v>25</v>
      </c>
      <c r="L110" s="2">
        <v>19</v>
      </c>
      <c r="M110" s="2">
        <v>17</v>
      </c>
      <c r="N110" s="2">
        <v>15</v>
      </c>
      <c r="O110" s="2">
        <v>25</v>
      </c>
    </row>
    <row r="111" spans="1:15" x14ac:dyDescent="0.25">
      <c r="A111" s="36" t="s">
        <v>233</v>
      </c>
      <c r="B111" s="36" t="s">
        <v>234</v>
      </c>
      <c r="C111" s="2">
        <v>67</v>
      </c>
      <c r="D111" s="2">
        <v>33</v>
      </c>
      <c r="E111" s="2">
        <v>14</v>
      </c>
      <c r="F111" s="2">
        <v>23</v>
      </c>
      <c r="G111" s="2">
        <v>33</v>
      </c>
      <c r="H111" s="2">
        <v>31</v>
      </c>
      <c r="J111" s="2"/>
      <c r="K111" s="2">
        <v>15</v>
      </c>
      <c r="L111" s="2">
        <v>27</v>
      </c>
      <c r="M111" s="2">
        <v>25</v>
      </c>
      <c r="N111" s="2">
        <v>20</v>
      </c>
      <c r="O111" s="2">
        <v>13</v>
      </c>
    </row>
    <row r="112" spans="1:15" x14ac:dyDescent="0.25">
      <c r="A112" s="36" t="s">
        <v>235</v>
      </c>
      <c r="B112" s="36" t="s">
        <v>471</v>
      </c>
      <c r="C112" s="2">
        <v>69</v>
      </c>
      <c r="D112" s="2">
        <v>31</v>
      </c>
      <c r="E112" s="2">
        <v>16</v>
      </c>
      <c r="F112" s="2">
        <v>21</v>
      </c>
      <c r="G112" s="2">
        <v>36</v>
      </c>
      <c r="H112" s="2">
        <v>27</v>
      </c>
      <c r="J112" s="2"/>
      <c r="K112" s="2">
        <v>37</v>
      </c>
      <c r="L112" s="2">
        <v>16</v>
      </c>
      <c r="M112" s="2">
        <v>16</v>
      </c>
      <c r="N112" s="2">
        <v>20</v>
      </c>
      <c r="O112" s="2">
        <v>11</v>
      </c>
    </row>
    <row r="113" spans="1:15" x14ac:dyDescent="0.25">
      <c r="A113" s="36" t="s">
        <v>236</v>
      </c>
      <c r="B113" s="36" t="s">
        <v>237</v>
      </c>
      <c r="C113" s="2">
        <v>67</v>
      </c>
      <c r="D113" s="2">
        <v>33</v>
      </c>
      <c r="E113" s="2">
        <v>20</v>
      </c>
      <c r="F113" s="2">
        <v>29</v>
      </c>
      <c r="G113" s="2">
        <v>25</v>
      </c>
      <c r="H113" s="2">
        <v>26</v>
      </c>
      <c r="J113" s="2"/>
      <c r="K113" s="2">
        <v>63</v>
      </c>
      <c r="L113" s="2">
        <v>20</v>
      </c>
      <c r="M113" s="2">
        <v>13</v>
      </c>
      <c r="N113" s="2">
        <v>2</v>
      </c>
      <c r="O113" s="2">
        <v>1</v>
      </c>
    </row>
    <row r="114" spans="1:15" x14ac:dyDescent="0.25">
      <c r="A114" s="36" t="s">
        <v>238</v>
      </c>
      <c r="B114" s="36" t="s">
        <v>239</v>
      </c>
      <c r="C114" s="2">
        <v>65</v>
      </c>
      <c r="D114" s="2">
        <v>35</v>
      </c>
      <c r="E114" s="2">
        <v>16</v>
      </c>
      <c r="F114" s="2">
        <v>24</v>
      </c>
      <c r="G114" s="2">
        <v>31</v>
      </c>
      <c r="H114" s="2">
        <v>29</v>
      </c>
      <c r="J114" s="2"/>
      <c r="K114" s="2">
        <v>34</v>
      </c>
      <c r="L114" s="2">
        <v>21</v>
      </c>
      <c r="M114" s="2">
        <v>19</v>
      </c>
      <c r="N114" s="2">
        <v>18</v>
      </c>
      <c r="O114" s="2">
        <v>9</v>
      </c>
    </row>
    <row r="115" spans="1:15" x14ac:dyDescent="0.25">
      <c r="A115" s="36" t="s">
        <v>240</v>
      </c>
      <c r="B115" s="36" t="s">
        <v>241</v>
      </c>
      <c r="C115" s="2">
        <v>59</v>
      </c>
      <c r="D115" s="2">
        <v>41</v>
      </c>
      <c r="E115" s="2">
        <v>14</v>
      </c>
      <c r="F115" s="2">
        <v>23</v>
      </c>
      <c r="G115" s="2">
        <v>37</v>
      </c>
      <c r="H115" s="2">
        <v>26</v>
      </c>
      <c r="J115" s="2"/>
      <c r="K115" s="2">
        <v>18</v>
      </c>
      <c r="L115" s="2">
        <v>22</v>
      </c>
      <c r="M115" s="2">
        <v>12</v>
      </c>
      <c r="N115" s="2">
        <v>25</v>
      </c>
      <c r="O115" s="2">
        <v>23</v>
      </c>
    </row>
    <row r="116" spans="1:15" x14ac:dyDescent="0.25">
      <c r="A116" s="36" t="s">
        <v>242</v>
      </c>
      <c r="B116" s="36" t="s">
        <v>243</v>
      </c>
      <c r="C116" s="2">
        <v>74</v>
      </c>
      <c r="D116" s="2">
        <v>26</v>
      </c>
      <c r="E116" s="2">
        <v>15</v>
      </c>
      <c r="F116" s="2">
        <v>21</v>
      </c>
      <c r="G116" s="2">
        <v>38</v>
      </c>
      <c r="H116" s="2">
        <v>26</v>
      </c>
      <c r="J116" s="2"/>
      <c r="K116" s="2">
        <v>24</v>
      </c>
      <c r="L116" s="2">
        <v>31</v>
      </c>
      <c r="M116" s="2">
        <v>18</v>
      </c>
      <c r="N116" s="2">
        <v>14</v>
      </c>
      <c r="O116" s="2">
        <v>14</v>
      </c>
    </row>
    <row r="117" spans="1:15" x14ac:dyDescent="0.25">
      <c r="A117" s="36" t="s">
        <v>244</v>
      </c>
      <c r="B117" s="36" t="s">
        <v>245</v>
      </c>
      <c r="C117" s="2">
        <v>67</v>
      </c>
      <c r="D117" s="2">
        <v>33</v>
      </c>
      <c r="E117" s="2">
        <v>12</v>
      </c>
      <c r="F117" s="2">
        <v>22</v>
      </c>
      <c r="G117" s="2">
        <v>43</v>
      </c>
      <c r="H117" s="2">
        <v>23</v>
      </c>
      <c r="J117" s="2"/>
      <c r="K117" s="2">
        <v>1</v>
      </c>
      <c r="L117" s="2">
        <v>8</v>
      </c>
      <c r="M117" s="2">
        <v>13</v>
      </c>
      <c r="N117" s="2">
        <v>24</v>
      </c>
      <c r="O117" s="2">
        <v>54</v>
      </c>
    </row>
    <row r="118" spans="1:15" x14ac:dyDescent="0.25">
      <c r="A118" s="36" t="s">
        <v>246</v>
      </c>
      <c r="B118" s="36" t="s">
        <v>247</v>
      </c>
      <c r="C118" s="2">
        <v>69</v>
      </c>
      <c r="D118" s="2">
        <v>31</v>
      </c>
      <c r="E118" s="2">
        <v>20</v>
      </c>
      <c r="F118" s="2">
        <v>29</v>
      </c>
      <c r="G118" s="2">
        <v>33</v>
      </c>
      <c r="H118" s="2">
        <v>17</v>
      </c>
      <c r="J118" s="2"/>
      <c r="K118" s="2">
        <v>41</v>
      </c>
      <c r="L118" s="2">
        <v>23</v>
      </c>
      <c r="M118" s="2">
        <v>10</v>
      </c>
      <c r="N118" s="2">
        <v>15</v>
      </c>
      <c r="O118" s="2">
        <v>11</v>
      </c>
    </row>
    <row r="119" spans="1:15" x14ac:dyDescent="0.25">
      <c r="A119" s="36" t="s">
        <v>248</v>
      </c>
      <c r="B119" s="36" t="s">
        <v>249</v>
      </c>
      <c r="C119" s="2">
        <v>67</v>
      </c>
      <c r="D119" s="2">
        <v>33</v>
      </c>
      <c r="E119" s="2">
        <v>15</v>
      </c>
      <c r="F119" s="2">
        <v>22</v>
      </c>
      <c r="G119" s="2">
        <v>36</v>
      </c>
      <c r="H119" s="2">
        <v>27</v>
      </c>
      <c r="J119" s="2"/>
      <c r="K119" s="2">
        <v>16</v>
      </c>
      <c r="L119" s="2">
        <v>19</v>
      </c>
      <c r="M119" s="2">
        <v>27</v>
      </c>
      <c r="N119" s="2">
        <v>25</v>
      </c>
      <c r="O119" s="2">
        <v>13</v>
      </c>
    </row>
    <row r="120" spans="1:15" x14ac:dyDescent="0.25">
      <c r="A120" s="36" t="s">
        <v>250</v>
      </c>
      <c r="B120" s="36" t="s">
        <v>251</v>
      </c>
      <c r="C120" s="2">
        <v>63</v>
      </c>
      <c r="D120" s="2">
        <v>37</v>
      </c>
      <c r="E120" s="2">
        <v>23</v>
      </c>
      <c r="F120" s="2">
        <v>29</v>
      </c>
      <c r="G120" s="2">
        <v>32</v>
      </c>
      <c r="H120" s="2">
        <v>16</v>
      </c>
      <c r="J120" s="2"/>
      <c r="K120" s="2">
        <v>11</v>
      </c>
      <c r="L120" s="2">
        <v>32</v>
      </c>
      <c r="M120" s="2">
        <v>27</v>
      </c>
      <c r="N120" s="2">
        <v>18</v>
      </c>
      <c r="O120" s="2">
        <v>13</v>
      </c>
    </row>
    <row r="121" spans="1:15" x14ac:dyDescent="0.25">
      <c r="A121" s="36" t="s">
        <v>252</v>
      </c>
      <c r="B121" s="36" t="s">
        <v>303</v>
      </c>
      <c r="C121" s="2">
        <v>72</v>
      </c>
      <c r="D121" s="2">
        <v>28</v>
      </c>
      <c r="E121" s="2">
        <v>17</v>
      </c>
      <c r="F121" s="2">
        <v>21</v>
      </c>
      <c r="G121" s="2">
        <v>35</v>
      </c>
      <c r="H121" s="2">
        <v>28</v>
      </c>
      <c r="J121" s="2"/>
      <c r="K121" s="2">
        <v>10</v>
      </c>
      <c r="L121" s="2">
        <v>15</v>
      </c>
      <c r="M121" s="2">
        <v>26</v>
      </c>
      <c r="N121" s="2">
        <v>26</v>
      </c>
      <c r="O121" s="2">
        <v>22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79998168889431442"/>
  </sheetPr>
  <dimension ref="A1:BC21"/>
  <sheetViews>
    <sheetView workbookViewId="0">
      <selection activeCell="K2" sqref="K2:O21"/>
    </sheetView>
  </sheetViews>
  <sheetFormatPr defaultRowHeight="15" x14ac:dyDescent="0.25"/>
  <cols>
    <col min="1" max="1" width="14.42578125" customWidth="1"/>
    <col min="2" max="2" width="39" bestFit="1" customWidth="1"/>
    <col min="16" max="16" width="10.140625" customWidth="1"/>
    <col min="17" max="19" width="7.140625" customWidth="1"/>
    <col min="20" max="20" width="10.28515625" customWidth="1"/>
    <col min="21" max="21" width="12.140625" customWidth="1"/>
    <col min="22" max="23" width="9.140625" customWidth="1"/>
    <col min="24" max="24" width="9.140625" style="4" customWidth="1"/>
    <col min="25" max="25" width="12.28515625" customWidth="1"/>
    <col min="26" max="26" width="6.5703125" customWidth="1"/>
    <col min="27" max="27" width="10.5703125" customWidth="1"/>
    <col min="28" max="28" width="7.5703125" customWidth="1"/>
    <col min="29" max="29" width="14.7109375" customWidth="1"/>
    <col min="30" max="30" width="8.5703125" customWidth="1"/>
    <col min="31" max="31" width="8.7109375" customWidth="1"/>
    <col min="32" max="32" width="9.5703125" customWidth="1"/>
    <col min="33" max="33" width="12.42578125" customWidth="1"/>
    <col min="34" max="35" width="5.140625" customWidth="1"/>
    <col min="36" max="37" width="6.140625" customWidth="1"/>
    <col min="38" max="38" width="5.140625" customWidth="1"/>
    <col min="39" max="39" width="12.42578125" customWidth="1"/>
    <col min="40" max="41" width="7.140625" customWidth="1"/>
    <col min="42" max="43" width="8.140625" customWidth="1"/>
    <col min="44" max="44" width="7.140625" customWidth="1"/>
    <col min="45" max="49" width="6.140625" customWidth="1"/>
    <col min="50" max="50" width="13.42578125" customWidth="1"/>
    <col min="51" max="55" width="8.140625" customWidth="1"/>
    <col min="56" max="59" width="23.7109375" customWidth="1"/>
    <col min="60" max="60" width="31" customWidth="1"/>
  </cols>
  <sheetData>
    <row r="1" spans="1:55" x14ac:dyDescent="0.25">
      <c r="A1" s="19" t="s">
        <v>0</v>
      </c>
      <c r="B1" s="19" t="s">
        <v>1</v>
      </c>
      <c r="C1" t="s">
        <v>419</v>
      </c>
      <c r="D1" t="s">
        <v>420</v>
      </c>
      <c r="E1" t="s">
        <v>421</v>
      </c>
      <c r="F1" t="s">
        <v>422</v>
      </c>
      <c r="G1" t="s">
        <v>423</v>
      </c>
      <c r="H1" t="s">
        <v>424</v>
      </c>
      <c r="K1" t="s">
        <v>301</v>
      </c>
      <c r="L1" t="s">
        <v>298</v>
      </c>
      <c r="M1" t="s">
        <v>299</v>
      </c>
      <c r="N1" t="s">
        <v>300</v>
      </c>
      <c r="O1" t="s">
        <v>297</v>
      </c>
      <c r="X1"/>
      <c r="AI1" s="19"/>
      <c r="AJ1" s="19"/>
      <c r="AK1" s="19"/>
      <c r="AL1" s="19"/>
      <c r="AM1" s="19"/>
      <c r="AN1" s="19"/>
      <c r="AO1" s="19"/>
      <c r="AP1" s="19"/>
      <c r="AQ1" s="19"/>
      <c r="AR1" s="19"/>
      <c r="AS1" s="19"/>
      <c r="AT1" s="19"/>
      <c r="AU1" s="19"/>
      <c r="AV1" s="19"/>
      <c r="AW1" s="19"/>
      <c r="AX1" s="19"/>
      <c r="AY1" s="19"/>
      <c r="AZ1" s="19"/>
      <c r="BA1" s="19"/>
      <c r="BB1" s="19"/>
      <c r="BC1" s="19"/>
    </row>
    <row r="2" spans="1:55" x14ac:dyDescent="0.25">
      <c r="A2" s="55" t="s">
        <v>3</v>
      </c>
      <c r="B2" s="55" t="s">
        <v>4</v>
      </c>
      <c r="C2" s="2">
        <v>67</v>
      </c>
      <c r="D2" s="2">
        <v>33</v>
      </c>
      <c r="E2" s="2">
        <v>14</v>
      </c>
      <c r="F2" s="2">
        <v>25</v>
      </c>
      <c r="G2" s="2">
        <v>33</v>
      </c>
      <c r="H2" s="2">
        <v>28</v>
      </c>
      <c r="I2" s="2"/>
      <c r="J2" s="2"/>
      <c r="K2" s="2">
        <v>32</v>
      </c>
      <c r="L2" s="2">
        <v>15</v>
      </c>
      <c r="M2" s="2">
        <v>17</v>
      </c>
      <c r="N2" s="2">
        <v>19</v>
      </c>
      <c r="O2" s="2">
        <v>17</v>
      </c>
      <c r="P2" s="2"/>
      <c r="Q2" s="2"/>
      <c r="R2" s="2"/>
      <c r="S2" s="2"/>
      <c r="T2" s="2"/>
      <c r="U2" s="2"/>
      <c r="V2" s="2"/>
      <c r="W2" s="2"/>
      <c r="X2" s="2"/>
      <c r="Y2" s="2"/>
      <c r="Z2" s="2"/>
      <c r="AA2" s="2"/>
      <c r="AB2" s="2"/>
      <c r="AC2" s="2"/>
      <c r="AD2" s="2"/>
      <c r="AE2" s="2"/>
      <c r="AF2" s="2"/>
      <c r="AG2" s="2"/>
      <c r="AH2" s="2"/>
      <c r="AI2" s="68"/>
      <c r="AJ2" s="68"/>
      <c r="AK2" s="68"/>
      <c r="AL2" s="68"/>
      <c r="AM2" s="68"/>
      <c r="AN2" s="68"/>
      <c r="AO2" s="68"/>
      <c r="AP2" s="68"/>
      <c r="AQ2" s="68"/>
      <c r="AR2" s="68"/>
      <c r="AS2" s="68"/>
      <c r="AT2" s="68"/>
      <c r="AU2" s="68"/>
      <c r="AV2" s="68"/>
      <c r="AW2" s="68"/>
      <c r="AX2" s="68"/>
      <c r="AY2" s="68"/>
      <c r="AZ2" s="68"/>
      <c r="BA2" s="68"/>
      <c r="BB2" s="68"/>
      <c r="BC2" s="68"/>
    </row>
    <row r="3" spans="1:55" x14ac:dyDescent="0.25">
      <c r="A3" s="56" t="s">
        <v>5</v>
      </c>
      <c r="B3" s="56" t="s">
        <v>6</v>
      </c>
      <c r="C3" s="2">
        <v>69</v>
      </c>
      <c r="D3" s="2">
        <v>31</v>
      </c>
      <c r="E3" s="2">
        <v>14</v>
      </c>
      <c r="F3" s="2">
        <v>24</v>
      </c>
      <c r="G3" s="2">
        <v>35</v>
      </c>
      <c r="H3" s="2">
        <v>26</v>
      </c>
      <c r="I3" s="2"/>
      <c r="J3" s="2"/>
      <c r="K3" s="2">
        <v>17</v>
      </c>
      <c r="L3" s="2">
        <v>19</v>
      </c>
      <c r="M3" s="2">
        <v>22</v>
      </c>
      <c r="N3" s="2">
        <v>22</v>
      </c>
      <c r="O3" s="2">
        <v>21</v>
      </c>
      <c r="P3" s="2"/>
      <c r="Q3" s="2"/>
      <c r="R3" s="2"/>
      <c r="S3" s="2"/>
      <c r="T3" s="2"/>
      <c r="U3" s="2"/>
      <c r="V3" s="2"/>
      <c r="W3" s="2"/>
      <c r="X3" s="2"/>
      <c r="Y3" s="2"/>
      <c r="Z3" s="2"/>
      <c r="AA3" s="2"/>
      <c r="AB3" s="2"/>
      <c r="AC3" s="2"/>
      <c r="AD3" s="2"/>
      <c r="AE3" s="2"/>
      <c r="AF3" s="2"/>
      <c r="AG3" s="2"/>
      <c r="AH3" s="2"/>
      <c r="AI3" s="69"/>
      <c r="AJ3" s="69"/>
      <c r="AK3" s="69"/>
      <c r="AL3" s="69"/>
      <c r="AM3" s="69"/>
      <c r="AN3" s="69"/>
      <c r="AO3" s="69"/>
      <c r="AP3" s="69"/>
      <c r="AQ3" s="69"/>
      <c r="AR3" s="69"/>
      <c r="AS3" s="69"/>
      <c r="AT3" s="69"/>
      <c r="AU3" s="69"/>
      <c r="AV3" s="69"/>
      <c r="AW3" s="69"/>
      <c r="AX3" s="69"/>
      <c r="AY3" s="69"/>
      <c r="AZ3" s="69"/>
      <c r="BA3" s="69"/>
      <c r="BB3" s="69"/>
      <c r="BC3" s="69"/>
    </row>
    <row r="4" spans="1:55" x14ac:dyDescent="0.25">
      <c r="A4" s="57"/>
      <c r="B4" s="57" t="s">
        <v>571</v>
      </c>
      <c r="C4" s="2">
        <v>69</v>
      </c>
      <c r="D4" s="2">
        <v>31</v>
      </c>
      <c r="E4" s="2">
        <v>16</v>
      </c>
      <c r="F4" s="2">
        <v>21</v>
      </c>
      <c r="G4" s="2">
        <v>35</v>
      </c>
      <c r="H4" s="2">
        <v>28</v>
      </c>
      <c r="I4" s="2"/>
      <c r="J4" s="2"/>
      <c r="K4" s="2">
        <v>10</v>
      </c>
      <c r="L4" s="2">
        <v>18</v>
      </c>
      <c r="M4" s="2">
        <v>26</v>
      </c>
      <c r="N4" s="2">
        <v>22</v>
      </c>
      <c r="O4" s="2">
        <v>24</v>
      </c>
      <c r="P4" s="2"/>
      <c r="Q4" s="2"/>
      <c r="R4" s="2"/>
      <c r="S4" s="2"/>
      <c r="T4" s="2"/>
      <c r="U4" s="2"/>
      <c r="V4" s="2"/>
      <c r="W4" s="2"/>
      <c r="X4" s="2"/>
      <c r="Y4" s="2"/>
      <c r="Z4" s="2"/>
      <c r="AA4" s="2"/>
      <c r="AB4" s="2"/>
      <c r="AC4" s="2"/>
      <c r="AD4" s="2"/>
      <c r="AE4" s="2"/>
      <c r="AF4" s="2"/>
      <c r="AG4" s="2"/>
      <c r="AH4" s="2"/>
      <c r="AI4" s="69"/>
      <c r="AJ4" s="69"/>
      <c r="AK4" s="69"/>
      <c r="AL4" s="69"/>
      <c r="AM4" s="69"/>
      <c r="AN4" s="69"/>
      <c r="AO4" s="69"/>
      <c r="AP4" s="69"/>
      <c r="AQ4" s="69"/>
      <c r="AR4" s="69"/>
      <c r="AS4" s="69"/>
      <c r="AT4" s="69"/>
      <c r="AU4" s="69"/>
      <c r="AV4" s="69"/>
      <c r="AW4" s="69"/>
      <c r="AX4" s="69"/>
      <c r="AY4" s="69"/>
      <c r="AZ4" s="69"/>
      <c r="BA4" s="69"/>
      <c r="BB4" s="69"/>
      <c r="BC4" s="69"/>
    </row>
    <row r="5" spans="1:55" x14ac:dyDescent="0.25">
      <c r="A5" s="57" t="s">
        <v>10</v>
      </c>
      <c r="B5" s="57" t="s">
        <v>11</v>
      </c>
      <c r="C5" s="2">
        <v>68</v>
      </c>
      <c r="D5" s="2">
        <v>32</v>
      </c>
      <c r="E5" s="2">
        <v>17</v>
      </c>
      <c r="F5" s="2">
        <v>23</v>
      </c>
      <c r="G5" s="2">
        <v>36</v>
      </c>
      <c r="H5" s="2">
        <v>25</v>
      </c>
      <c r="I5" s="2"/>
      <c r="J5" s="2"/>
      <c r="K5" s="2">
        <v>34</v>
      </c>
      <c r="L5" s="2">
        <v>20</v>
      </c>
      <c r="M5" s="2">
        <v>14</v>
      </c>
      <c r="N5" s="2">
        <v>17</v>
      </c>
      <c r="O5" s="2">
        <v>15</v>
      </c>
      <c r="P5" s="2"/>
      <c r="Q5" s="2"/>
      <c r="R5" s="2"/>
      <c r="S5" s="2"/>
      <c r="T5" s="2"/>
      <c r="U5" s="2"/>
      <c r="V5" s="2"/>
      <c r="W5" s="2"/>
      <c r="X5" s="2"/>
      <c r="Y5" s="2"/>
      <c r="Z5" s="2"/>
      <c r="AA5" s="2"/>
      <c r="AB5" s="2"/>
      <c r="AC5" s="2"/>
      <c r="AD5" s="2"/>
      <c r="AE5" s="2"/>
      <c r="AF5" s="2"/>
      <c r="AG5" s="2"/>
      <c r="AH5" s="2"/>
      <c r="AI5" s="69"/>
      <c r="AJ5" s="69"/>
      <c r="AK5" s="69"/>
      <c r="AL5" s="69"/>
      <c r="AM5" s="69"/>
      <c r="AN5" s="69"/>
      <c r="AO5" s="69"/>
      <c r="AP5" s="69"/>
      <c r="AQ5" s="69"/>
      <c r="AR5" s="69"/>
      <c r="AS5" s="69"/>
      <c r="AT5" s="69"/>
      <c r="AU5" s="69"/>
      <c r="AV5" s="69"/>
      <c r="AW5" s="69"/>
      <c r="AX5" s="69"/>
      <c r="AY5" s="69"/>
      <c r="AZ5" s="69"/>
      <c r="BA5" s="69"/>
      <c r="BB5" s="69"/>
      <c r="BC5" s="69"/>
    </row>
    <row r="6" spans="1:55" x14ac:dyDescent="0.25">
      <c r="A6" s="56" t="s">
        <v>12</v>
      </c>
      <c r="B6" s="56" t="s">
        <v>467</v>
      </c>
      <c r="C6" s="2">
        <v>73</v>
      </c>
      <c r="D6" s="2">
        <v>27</v>
      </c>
      <c r="E6" s="2">
        <v>15</v>
      </c>
      <c r="F6" s="2">
        <v>23</v>
      </c>
      <c r="G6" s="2">
        <v>33</v>
      </c>
      <c r="H6" s="2">
        <v>28</v>
      </c>
      <c r="I6" s="2"/>
      <c r="J6" s="2"/>
      <c r="K6" s="2">
        <v>21</v>
      </c>
      <c r="L6" s="2">
        <v>16</v>
      </c>
      <c r="M6" s="2">
        <v>19</v>
      </c>
      <c r="N6" s="2">
        <v>22</v>
      </c>
      <c r="O6" s="2">
        <v>22</v>
      </c>
      <c r="P6" s="2"/>
      <c r="Q6" s="2"/>
      <c r="R6" s="2"/>
      <c r="S6" s="2"/>
      <c r="T6" s="2"/>
      <c r="U6" s="2"/>
      <c r="V6" s="2"/>
      <c r="W6" s="2"/>
      <c r="X6" s="2"/>
      <c r="Y6" s="2"/>
      <c r="Z6" s="2"/>
      <c r="AA6" s="2"/>
      <c r="AB6" s="2"/>
      <c r="AC6" s="2"/>
      <c r="AD6" s="2"/>
      <c r="AE6" s="2"/>
      <c r="AF6" s="2"/>
      <c r="AG6" s="2"/>
      <c r="AH6" s="2"/>
      <c r="AI6" s="69"/>
      <c r="AJ6" s="69"/>
      <c r="AK6" s="69"/>
      <c r="AL6" s="69"/>
      <c r="AM6" s="69"/>
      <c r="AN6" s="69"/>
      <c r="AO6" s="69"/>
      <c r="AP6" s="69"/>
      <c r="AQ6" s="69"/>
      <c r="AR6" s="69"/>
      <c r="AS6" s="69"/>
      <c r="AT6" s="69"/>
      <c r="AU6" s="69"/>
      <c r="AV6" s="69"/>
      <c r="AW6" s="69"/>
      <c r="AX6" s="69"/>
      <c r="AY6" s="69"/>
      <c r="AZ6" s="69"/>
      <c r="BA6" s="69"/>
      <c r="BB6" s="69"/>
      <c r="BC6" s="69"/>
    </row>
    <row r="7" spans="1:55" x14ac:dyDescent="0.25">
      <c r="A7" s="57" t="s">
        <v>14</v>
      </c>
      <c r="B7" s="57" t="s">
        <v>15</v>
      </c>
      <c r="C7" s="2">
        <v>69</v>
      </c>
      <c r="D7" s="2">
        <v>31</v>
      </c>
      <c r="E7" s="2">
        <v>13</v>
      </c>
      <c r="F7" s="2">
        <v>21</v>
      </c>
      <c r="G7" s="2">
        <v>39</v>
      </c>
      <c r="H7" s="2">
        <v>27</v>
      </c>
      <c r="I7" s="2"/>
      <c r="J7" s="2"/>
      <c r="K7" s="2">
        <v>16</v>
      </c>
      <c r="L7" s="2">
        <v>21</v>
      </c>
      <c r="M7" s="2">
        <v>23</v>
      </c>
      <c r="N7" s="2">
        <v>23</v>
      </c>
      <c r="O7" s="2">
        <v>17</v>
      </c>
      <c r="P7" s="2"/>
      <c r="Q7" s="2"/>
      <c r="R7" s="2"/>
      <c r="S7" s="2"/>
      <c r="T7" s="2"/>
      <c r="U7" s="2"/>
      <c r="V7" s="2"/>
      <c r="W7" s="2"/>
      <c r="X7" s="2"/>
      <c r="Y7" s="2"/>
      <c r="Z7" s="2"/>
      <c r="AA7" s="2"/>
      <c r="AB7" s="2"/>
      <c r="AC7" s="2"/>
      <c r="AD7" s="2"/>
      <c r="AE7" s="2"/>
      <c r="AF7" s="2"/>
      <c r="AG7" s="2"/>
      <c r="AH7" s="2"/>
      <c r="AI7" s="69"/>
      <c r="AJ7" s="69"/>
      <c r="AK7" s="69"/>
      <c r="AL7" s="69"/>
      <c r="AM7" s="69"/>
      <c r="AN7" s="69"/>
      <c r="AO7" s="69"/>
      <c r="AP7" s="69"/>
      <c r="AQ7" s="69"/>
      <c r="AR7" s="69"/>
      <c r="AS7" s="69"/>
      <c r="AT7" s="69"/>
      <c r="AU7" s="69"/>
      <c r="AV7" s="69"/>
      <c r="AW7" s="69"/>
      <c r="AX7" s="69"/>
      <c r="AY7" s="69"/>
      <c r="AZ7" s="69"/>
      <c r="BA7" s="69"/>
      <c r="BB7" s="69"/>
      <c r="BC7" s="69"/>
    </row>
    <row r="8" spans="1:55" x14ac:dyDescent="0.25">
      <c r="A8" s="56" t="s">
        <v>16</v>
      </c>
      <c r="B8" s="56" t="s">
        <v>17</v>
      </c>
      <c r="C8" s="2">
        <v>65</v>
      </c>
      <c r="D8" s="2">
        <v>35</v>
      </c>
      <c r="E8" s="2">
        <v>16</v>
      </c>
      <c r="F8" s="2">
        <v>24</v>
      </c>
      <c r="G8" s="2">
        <v>34</v>
      </c>
      <c r="H8" s="2">
        <v>25</v>
      </c>
      <c r="I8" s="2"/>
      <c r="J8" s="2"/>
      <c r="K8" s="2">
        <v>28</v>
      </c>
      <c r="L8" s="2">
        <v>20</v>
      </c>
      <c r="M8" s="2">
        <v>14</v>
      </c>
      <c r="N8" s="2">
        <v>22</v>
      </c>
      <c r="O8" s="2">
        <v>14</v>
      </c>
      <c r="P8" s="2"/>
      <c r="Q8" s="2"/>
      <c r="R8" s="2"/>
      <c r="S8" s="2"/>
      <c r="T8" s="2"/>
      <c r="U8" s="2"/>
      <c r="V8" s="2"/>
      <c r="W8" s="2"/>
      <c r="X8" s="2"/>
      <c r="Y8" s="2"/>
      <c r="Z8" s="2"/>
      <c r="AA8" s="2"/>
      <c r="AB8" s="2"/>
      <c r="AC8" s="2"/>
      <c r="AD8" s="2"/>
      <c r="AE8" s="2"/>
      <c r="AF8" s="2"/>
      <c r="AG8" s="2"/>
      <c r="AH8" s="2"/>
      <c r="AI8" s="69"/>
      <c r="AJ8" s="69"/>
      <c r="AK8" s="69"/>
      <c r="AL8" s="69"/>
      <c r="AM8" s="69"/>
      <c r="AN8" s="69"/>
      <c r="AO8" s="69"/>
      <c r="AP8" s="69"/>
      <c r="AQ8" s="69"/>
      <c r="AR8" s="69"/>
      <c r="AS8" s="69"/>
      <c r="AT8" s="69"/>
      <c r="AU8" s="69"/>
      <c r="AV8" s="69"/>
      <c r="AW8" s="69"/>
      <c r="AX8" s="69"/>
      <c r="AY8" s="69"/>
      <c r="AZ8" s="69"/>
      <c r="BA8" s="69"/>
      <c r="BB8" s="69"/>
      <c r="BC8" s="69"/>
    </row>
    <row r="9" spans="1:55" x14ac:dyDescent="0.25">
      <c r="A9" s="57" t="s">
        <v>18</v>
      </c>
      <c r="B9" s="57" t="s">
        <v>19</v>
      </c>
      <c r="C9" s="2">
        <v>64</v>
      </c>
      <c r="D9" s="2">
        <v>36</v>
      </c>
      <c r="E9" s="2">
        <v>25</v>
      </c>
      <c r="F9" s="2">
        <v>22</v>
      </c>
      <c r="G9" s="2">
        <v>32</v>
      </c>
      <c r="H9" s="2">
        <v>21</v>
      </c>
      <c r="I9" s="2"/>
      <c r="J9" s="2"/>
      <c r="K9" s="2">
        <v>19</v>
      </c>
      <c r="L9" s="2">
        <v>25</v>
      </c>
      <c r="M9" s="2">
        <v>26</v>
      </c>
      <c r="N9" s="2">
        <v>19</v>
      </c>
      <c r="O9" s="2">
        <v>11</v>
      </c>
      <c r="P9" s="2"/>
      <c r="Q9" s="2"/>
      <c r="R9" s="2"/>
      <c r="S9" s="2"/>
      <c r="T9" s="2"/>
      <c r="U9" s="2"/>
      <c r="V9" s="2"/>
      <c r="W9" s="2"/>
      <c r="X9" s="2"/>
      <c r="Y9" s="2"/>
      <c r="Z9" s="2"/>
      <c r="AA9" s="2"/>
      <c r="AB9" s="2"/>
      <c r="AC9" s="2"/>
      <c r="AD9" s="2"/>
      <c r="AE9" s="2"/>
      <c r="AF9" s="2"/>
      <c r="AG9" s="2"/>
      <c r="AH9" s="2"/>
      <c r="AI9" s="69"/>
      <c r="AJ9" s="69"/>
      <c r="AK9" s="69"/>
      <c r="AL9" s="69"/>
      <c r="AM9" s="69"/>
      <c r="AN9" s="69"/>
      <c r="AO9" s="69"/>
      <c r="AP9" s="69"/>
      <c r="AQ9" s="69"/>
      <c r="AR9" s="69"/>
      <c r="AS9" s="69"/>
      <c r="AT9" s="69"/>
      <c r="AU9" s="69"/>
      <c r="AV9" s="69"/>
      <c r="AW9" s="69"/>
      <c r="AX9" s="69"/>
      <c r="AY9" s="69"/>
      <c r="AZ9" s="69"/>
      <c r="BA9" s="69"/>
      <c r="BB9" s="69"/>
      <c r="BC9" s="69"/>
    </row>
    <row r="10" spans="1:55" x14ac:dyDescent="0.25">
      <c r="A10" s="56" t="s">
        <v>20</v>
      </c>
      <c r="B10" s="56" t="s">
        <v>21</v>
      </c>
      <c r="C10" s="2">
        <v>61</v>
      </c>
      <c r="D10" s="2">
        <v>39</v>
      </c>
      <c r="E10" s="2">
        <v>23</v>
      </c>
      <c r="F10" s="2">
        <v>25</v>
      </c>
      <c r="G10" s="2">
        <v>27</v>
      </c>
      <c r="H10" s="2">
        <v>26</v>
      </c>
      <c r="I10" s="2"/>
      <c r="J10" s="2"/>
      <c r="K10" s="2">
        <v>22</v>
      </c>
      <c r="L10" s="2">
        <v>40</v>
      </c>
      <c r="M10" s="2">
        <v>21</v>
      </c>
      <c r="N10" s="2">
        <v>12</v>
      </c>
      <c r="O10" s="2">
        <v>6</v>
      </c>
      <c r="P10" s="2"/>
      <c r="Q10" s="2"/>
      <c r="R10" s="2"/>
      <c r="S10" s="2"/>
      <c r="T10" s="2"/>
      <c r="U10" s="2"/>
      <c r="V10" s="2"/>
      <c r="W10" s="2"/>
      <c r="X10" s="2"/>
      <c r="Y10" s="2"/>
      <c r="Z10" s="2"/>
      <c r="AA10" s="2"/>
      <c r="AB10" s="2"/>
      <c r="AC10" s="2"/>
      <c r="AD10" s="2"/>
      <c r="AE10" s="2"/>
      <c r="AF10" s="2"/>
      <c r="AG10" s="2"/>
      <c r="AH10" s="2"/>
      <c r="AI10" s="69"/>
      <c r="AJ10" s="69"/>
      <c r="AK10" s="69"/>
      <c r="AL10" s="69"/>
      <c r="AM10" s="69"/>
      <c r="AN10" s="69"/>
      <c r="AO10" s="69"/>
      <c r="AP10" s="69"/>
      <c r="AQ10" s="69"/>
      <c r="AR10" s="69"/>
      <c r="AS10" s="69"/>
      <c r="AT10" s="69"/>
      <c r="AU10" s="69"/>
      <c r="AV10" s="69"/>
      <c r="AW10" s="69"/>
      <c r="AX10" s="69"/>
      <c r="AY10" s="69"/>
      <c r="AZ10" s="69"/>
      <c r="BA10" s="69"/>
      <c r="BB10" s="69"/>
      <c r="BC10" s="69"/>
    </row>
    <row r="11" spans="1:55" x14ac:dyDescent="0.25">
      <c r="A11" s="57" t="s">
        <v>22</v>
      </c>
      <c r="B11" s="57" t="s">
        <v>23</v>
      </c>
      <c r="C11" s="2">
        <v>68</v>
      </c>
      <c r="D11" s="2">
        <v>32</v>
      </c>
      <c r="E11" s="2">
        <v>12</v>
      </c>
      <c r="F11" s="2">
        <v>25</v>
      </c>
      <c r="G11" s="2">
        <v>37</v>
      </c>
      <c r="H11" s="2">
        <v>26</v>
      </c>
      <c r="I11" s="2"/>
      <c r="J11" s="2"/>
      <c r="K11" s="2">
        <v>29</v>
      </c>
      <c r="L11" s="2">
        <v>23</v>
      </c>
      <c r="M11" s="2">
        <v>17</v>
      </c>
      <c r="N11" s="2">
        <v>17</v>
      </c>
      <c r="O11" s="2">
        <v>13</v>
      </c>
      <c r="P11" s="2"/>
      <c r="Q11" s="2"/>
      <c r="R11" s="2"/>
      <c r="S11" s="2"/>
      <c r="T11" s="2"/>
      <c r="U11" s="2"/>
      <c r="V11" s="2"/>
      <c r="W11" s="2"/>
      <c r="X11" s="2"/>
      <c r="Y11" s="2"/>
      <c r="Z11" s="2"/>
      <c r="AA11" s="2"/>
      <c r="AB11" s="2"/>
      <c r="AC11" s="2"/>
      <c r="AD11" s="2"/>
      <c r="AE11" s="2"/>
      <c r="AF11" s="2"/>
      <c r="AG11" s="2"/>
      <c r="AH11" s="2"/>
      <c r="AI11" s="69"/>
      <c r="AJ11" s="69"/>
      <c r="AK11" s="69"/>
      <c r="AL11" s="69"/>
      <c r="AM11" s="69"/>
      <c r="AN11" s="69"/>
      <c r="AO11" s="69"/>
      <c r="AP11" s="69"/>
      <c r="AQ11" s="69"/>
      <c r="AR11" s="69"/>
      <c r="AS11" s="69"/>
      <c r="AT11" s="69"/>
      <c r="AU11" s="69"/>
      <c r="AV11" s="69"/>
      <c r="AW11" s="69"/>
      <c r="AX11" s="69"/>
      <c r="AY11" s="69"/>
      <c r="AZ11" s="69"/>
      <c r="BA11" s="69"/>
      <c r="BB11" s="69"/>
      <c r="BC11" s="69"/>
    </row>
    <row r="12" spans="1:55" x14ac:dyDescent="0.25">
      <c r="A12" s="56" t="s">
        <v>24</v>
      </c>
      <c r="B12" s="56" t="s">
        <v>58</v>
      </c>
      <c r="C12" s="2">
        <v>68</v>
      </c>
      <c r="D12" s="2">
        <v>32</v>
      </c>
      <c r="E12" s="2">
        <v>12</v>
      </c>
      <c r="F12" s="2">
        <v>23</v>
      </c>
      <c r="G12" s="2">
        <v>36</v>
      </c>
      <c r="H12" s="2">
        <v>29</v>
      </c>
      <c r="I12" s="2"/>
      <c r="J12" s="2"/>
      <c r="K12" s="2">
        <v>13</v>
      </c>
      <c r="L12" s="2">
        <v>31</v>
      </c>
      <c r="M12" s="2">
        <v>26</v>
      </c>
      <c r="N12" s="2">
        <v>20</v>
      </c>
      <c r="O12" s="2">
        <v>10</v>
      </c>
      <c r="P12" s="2"/>
      <c r="Q12" s="2"/>
      <c r="R12" s="2"/>
      <c r="S12" s="2"/>
      <c r="T12" s="2"/>
      <c r="U12" s="2"/>
      <c r="V12" s="2"/>
      <c r="W12" s="2"/>
      <c r="X12" s="2"/>
      <c r="Y12" s="2"/>
      <c r="Z12" s="2"/>
      <c r="AA12" s="2"/>
      <c r="AB12" s="2"/>
      <c r="AC12" s="2"/>
      <c r="AD12" s="2"/>
      <c r="AE12" s="2"/>
      <c r="AF12" s="2"/>
      <c r="AG12" s="2"/>
      <c r="AH12" s="2"/>
      <c r="AI12" s="69"/>
      <c r="AJ12" s="69"/>
      <c r="AK12" s="69"/>
      <c r="AL12" s="69"/>
      <c r="AM12" s="69"/>
      <c r="AN12" s="69"/>
      <c r="AO12" s="69"/>
      <c r="AP12" s="69"/>
      <c r="AQ12" s="69"/>
      <c r="AR12" s="69"/>
      <c r="AS12" s="69"/>
      <c r="AT12" s="69"/>
      <c r="AU12" s="69"/>
      <c r="AV12" s="69"/>
      <c r="AW12" s="69"/>
      <c r="AX12" s="69"/>
      <c r="AY12" s="69"/>
      <c r="AZ12" s="69"/>
      <c r="BA12" s="69"/>
      <c r="BB12" s="69"/>
      <c r="BC12" s="69"/>
    </row>
    <row r="13" spans="1:55" x14ac:dyDescent="0.25">
      <c r="A13" s="57" t="s">
        <v>37</v>
      </c>
      <c r="B13" s="57" t="s">
        <v>460</v>
      </c>
      <c r="C13" s="2">
        <v>64</v>
      </c>
      <c r="D13" s="2">
        <v>36</v>
      </c>
      <c r="E13" s="2">
        <v>21</v>
      </c>
      <c r="F13" s="2">
        <v>25</v>
      </c>
      <c r="G13" s="2">
        <v>31</v>
      </c>
      <c r="H13" s="2">
        <v>24</v>
      </c>
      <c r="I13" s="2"/>
      <c r="J13" s="2"/>
      <c r="K13" s="2">
        <v>9</v>
      </c>
      <c r="L13" s="2">
        <v>23</v>
      </c>
      <c r="M13" s="2">
        <v>26</v>
      </c>
      <c r="N13" s="2">
        <v>20</v>
      </c>
      <c r="O13" s="2">
        <v>22</v>
      </c>
      <c r="P13" s="2"/>
      <c r="Q13" s="2"/>
      <c r="R13" s="2"/>
      <c r="S13" s="2"/>
      <c r="T13" s="2"/>
      <c r="U13" s="2"/>
      <c r="V13" s="2"/>
      <c r="W13" s="2"/>
      <c r="X13" s="2"/>
      <c r="Y13" s="2"/>
      <c r="Z13" s="2"/>
      <c r="AA13" s="2"/>
      <c r="AB13" s="2"/>
      <c r="AC13" s="2"/>
      <c r="AD13" s="2"/>
      <c r="AE13" s="2"/>
      <c r="AF13" s="2"/>
      <c r="AG13" s="2"/>
      <c r="AH13" s="2"/>
      <c r="AI13" s="69"/>
      <c r="AJ13" s="69"/>
      <c r="AK13" s="69"/>
      <c r="AL13" s="69"/>
      <c r="AM13" s="69"/>
      <c r="AN13" s="69"/>
      <c r="AO13" s="69"/>
      <c r="AP13" s="69"/>
      <c r="AQ13" s="69"/>
      <c r="AR13" s="69"/>
      <c r="AS13" s="69"/>
      <c r="AT13" s="69"/>
      <c r="AU13" s="69"/>
      <c r="AV13" s="69"/>
      <c r="AW13" s="69"/>
      <c r="AX13" s="69"/>
      <c r="AY13" s="69"/>
      <c r="AZ13" s="69"/>
      <c r="BA13" s="69"/>
      <c r="BB13" s="69"/>
      <c r="BC13" s="69"/>
    </row>
    <row r="14" spans="1:55" x14ac:dyDescent="0.25">
      <c r="A14" s="57" t="s">
        <v>25</v>
      </c>
      <c r="B14" s="57" t="s">
        <v>464</v>
      </c>
      <c r="C14" s="2">
        <v>68</v>
      </c>
      <c r="D14" s="2">
        <v>32</v>
      </c>
      <c r="E14" s="2">
        <v>14</v>
      </c>
      <c r="F14" s="2">
        <v>23</v>
      </c>
      <c r="G14" s="2">
        <v>35</v>
      </c>
      <c r="H14" s="2">
        <v>29</v>
      </c>
      <c r="I14" s="2"/>
      <c r="J14" s="2"/>
      <c r="K14" s="2">
        <v>11</v>
      </c>
      <c r="L14" s="2">
        <v>17</v>
      </c>
      <c r="M14" s="2">
        <v>25</v>
      </c>
      <c r="N14" s="2">
        <v>24</v>
      </c>
      <c r="O14" s="2">
        <v>22</v>
      </c>
      <c r="P14" s="2"/>
      <c r="Q14" s="2"/>
      <c r="R14" s="2"/>
      <c r="S14" s="2"/>
      <c r="T14" s="2"/>
      <c r="U14" s="2"/>
      <c r="V14" s="2"/>
      <c r="W14" s="2"/>
      <c r="X14" s="2"/>
      <c r="Y14" s="2"/>
      <c r="Z14" s="2"/>
      <c r="AA14" s="2"/>
      <c r="AB14" s="2"/>
      <c r="AC14" s="2"/>
      <c r="AD14" s="2"/>
      <c r="AE14" s="2"/>
      <c r="AF14" s="2"/>
      <c r="AG14" s="2"/>
      <c r="AH14" s="2"/>
      <c r="AI14" s="69"/>
      <c r="AJ14" s="69"/>
      <c r="AK14" s="69"/>
      <c r="AL14" s="69"/>
      <c r="AM14" s="69"/>
      <c r="AN14" s="69"/>
      <c r="AO14" s="69"/>
      <c r="AP14" s="69"/>
      <c r="AQ14" s="69"/>
      <c r="AR14" s="69"/>
      <c r="AS14" s="69"/>
      <c r="AT14" s="69"/>
      <c r="AU14" s="69"/>
      <c r="AV14" s="69"/>
      <c r="AW14" s="69"/>
      <c r="AX14" s="69"/>
      <c r="AY14" s="69"/>
      <c r="AZ14" s="69"/>
      <c r="BA14" s="69"/>
      <c r="BB14" s="69"/>
      <c r="BC14" s="69"/>
    </row>
    <row r="15" spans="1:55" x14ac:dyDescent="0.25">
      <c r="A15" s="56" t="s">
        <v>27</v>
      </c>
      <c r="B15" s="56" t="s">
        <v>28</v>
      </c>
      <c r="C15" s="2">
        <v>66</v>
      </c>
      <c r="D15" s="2">
        <v>34</v>
      </c>
      <c r="E15" s="2">
        <v>21</v>
      </c>
      <c r="F15" s="2">
        <v>25</v>
      </c>
      <c r="G15" s="2">
        <v>33</v>
      </c>
      <c r="H15" s="2">
        <v>20</v>
      </c>
      <c r="I15" s="2"/>
      <c r="J15" s="2"/>
      <c r="K15" s="2">
        <v>20</v>
      </c>
      <c r="L15" s="2">
        <v>28</v>
      </c>
      <c r="M15" s="2">
        <v>19</v>
      </c>
      <c r="N15" s="2">
        <v>17</v>
      </c>
      <c r="O15" s="2">
        <v>16</v>
      </c>
      <c r="P15" s="2"/>
      <c r="Q15" s="2"/>
      <c r="R15" s="2"/>
      <c r="S15" s="2"/>
      <c r="T15" s="2"/>
      <c r="U15" s="2"/>
      <c r="V15" s="2"/>
      <c r="W15" s="2"/>
      <c r="X15" s="2"/>
      <c r="Y15" s="2"/>
      <c r="Z15" s="2"/>
      <c r="AA15" s="2"/>
      <c r="AB15" s="2"/>
      <c r="AC15" s="2"/>
      <c r="AD15" s="2"/>
      <c r="AE15" s="2"/>
      <c r="AF15" s="2"/>
      <c r="AG15" s="2"/>
      <c r="AH15" s="2"/>
      <c r="AI15" s="69"/>
      <c r="AJ15" s="69"/>
      <c r="AK15" s="69"/>
      <c r="AL15" s="69"/>
      <c r="AM15" s="69"/>
      <c r="AN15" s="69"/>
      <c r="AO15" s="69"/>
      <c r="AP15" s="69"/>
      <c r="AQ15" s="69"/>
      <c r="AR15" s="69"/>
      <c r="AS15" s="69"/>
      <c r="AT15" s="69"/>
      <c r="AU15" s="69"/>
      <c r="AV15" s="69"/>
      <c r="AW15" s="69"/>
      <c r="AX15" s="69"/>
      <c r="AY15" s="69"/>
      <c r="AZ15" s="69"/>
      <c r="BA15" s="69"/>
      <c r="BB15" s="69"/>
      <c r="BC15" s="69"/>
    </row>
    <row r="16" spans="1:55" x14ac:dyDescent="0.25">
      <c r="A16" s="57" t="s">
        <v>29</v>
      </c>
      <c r="B16" s="57" t="s">
        <v>30</v>
      </c>
      <c r="C16" s="2">
        <v>67</v>
      </c>
      <c r="D16" s="2">
        <v>33</v>
      </c>
      <c r="E16" s="2">
        <v>13</v>
      </c>
      <c r="F16" s="2">
        <v>26</v>
      </c>
      <c r="G16" s="2">
        <v>35</v>
      </c>
      <c r="H16" s="2">
        <v>26</v>
      </c>
      <c r="I16" s="2"/>
      <c r="J16" s="2"/>
      <c r="K16" s="2">
        <v>32</v>
      </c>
      <c r="L16" s="2">
        <v>21</v>
      </c>
      <c r="M16" s="2">
        <v>18</v>
      </c>
      <c r="N16" s="2">
        <v>16</v>
      </c>
      <c r="O16" s="2">
        <v>12</v>
      </c>
      <c r="P16" s="2"/>
      <c r="Q16" s="2"/>
      <c r="R16" s="2"/>
      <c r="S16" s="2"/>
      <c r="T16" s="2"/>
      <c r="U16" s="2"/>
      <c r="V16" s="2"/>
      <c r="W16" s="2"/>
      <c r="X16" s="2"/>
      <c r="Y16" s="2"/>
      <c r="Z16" s="2"/>
      <c r="AA16" s="2"/>
      <c r="AB16" s="2"/>
      <c r="AC16" s="2"/>
      <c r="AD16" s="2"/>
      <c r="AE16" s="2"/>
      <c r="AF16" s="2"/>
      <c r="AG16" s="2"/>
      <c r="AH16" s="2"/>
      <c r="AI16" s="69"/>
      <c r="AJ16" s="69"/>
      <c r="AK16" s="69"/>
      <c r="AL16" s="69"/>
      <c r="AM16" s="69"/>
      <c r="AN16" s="69"/>
      <c r="AO16" s="69"/>
      <c r="AP16" s="69"/>
      <c r="AQ16" s="69"/>
      <c r="AR16" s="69"/>
      <c r="AS16" s="69"/>
      <c r="AT16" s="69"/>
      <c r="AU16" s="69"/>
      <c r="AV16" s="69"/>
      <c r="AW16" s="69"/>
      <c r="AX16" s="69"/>
      <c r="AY16" s="69"/>
      <c r="AZ16" s="69"/>
      <c r="BA16" s="69"/>
      <c r="BB16" s="69"/>
      <c r="BC16" s="69"/>
    </row>
    <row r="17" spans="1:55" x14ac:dyDescent="0.25">
      <c r="A17" s="56" t="s">
        <v>31</v>
      </c>
      <c r="B17" s="56" t="s">
        <v>32</v>
      </c>
      <c r="C17" s="2">
        <v>70</v>
      </c>
      <c r="D17" s="2">
        <v>30</v>
      </c>
      <c r="E17" s="2">
        <v>16</v>
      </c>
      <c r="F17" s="2">
        <v>24</v>
      </c>
      <c r="G17" s="2">
        <v>32</v>
      </c>
      <c r="H17" s="2">
        <v>28</v>
      </c>
      <c r="I17" s="2"/>
      <c r="J17" s="2"/>
      <c r="K17" s="2">
        <v>7</v>
      </c>
      <c r="L17" s="2">
        <v>17</v>
      </c>
      <c r="M17" s="2">
        <v>23</v>
      </c>
      <c r="N17" s="2">
        <v>23</v>
      </c>
      <c r="O17" s="2">
        <v>31</v>
      </c>
      <c r="P17" s="2"/>
      <c r="Q17" s="2"/>
      <c r="R17" s="2"/>
      <c r="S17" s="2"/>
      <c r="T17" s="2"/>
      <c r="U17" s="2"/>
      <c r="V17" s="2"/>
      <c r="W17" s="2"/>
      <c r="X17" s="2"/>
      <c r="Y17" s="2"/>
      <c r="Z17" s="2"/>
      <c r="AA17" s="2"/>
      <c r="AB17" s="2"/>
      <c r="AC17" s="2"/>
      <c r="AD17" s="2"/>
      <c r="AE17" s="2"/>
      <c r="AF17" s="2"/>
      <c r="AG17" s="2"/>
      <c r="AH17" s="2"/>
      <c r="AI17" s="69"/>
      <c r="AJ17" s="69"/>
      <c r="AK17" s="69"/>
      <c r="AL17" s="69"/>
      <c r="AM17" s="69"/>
      <c r="AN17" s="69"/>
      <c r="AO17" s="69"/>
      <c r="AP17" s="69"/>
      <c r="AQ17" s="69"/>
      <c r="AR17" s="69"/>
      <c r="AS17" s="69"/>
      <c r="AT17" s="69"/>
      <c r="AU17" s="69"/>
      <c r="AV17" s="69"/>
      <c r="AW17" s="69"/>
      <c r="AX17" s="69"/>
      <c r="AY17" s="69"/>
      <c r="AZ17" s="69"/>
      <c r="BA17" s="69"/>
      <c r="BB17" s="69"/>
      <c r="BC17" s="69"/>
    </row>
    <row r="18" spans="1:55" x14ac:dyDescent="0.25">
      <c r="A18" s="57" t="s">
        <v>33</v>
      </c>
      <c r="B18" s="57" t="s">
        <v>34</v>
      </c>
      <c r="C18" s="2">
        <v>68</v>
      </c>
      <c r="D18" s="2">
        <v>32</v>
      </c>
      <c r="E18" s="2">
        <v>16</v>
      </c>
      <c r="F18" s="2">
        <v>23</v>
      </c>
      <c r="G18" s="2">
        <v>36</v>
      </c>
      <c r="H18" s="2">
        <v>26</v>
      </c>
      <c r="I18" s="2"/>
      <c r="J18" s="2"/>
      <c r="K18" s="2">
        <v>4</v>
      </c>
      <c r="L18" s="2">
        <v>8</v>
      </c>
      <c r="M18" s="2">
        <v>15</v>
      </c>
      <c r="N18" s="2">
        <v>26</v>
      </c>
      <c r="O18" s="2">
        <v>47</v>
      </c>
      <c r="P18" s="2"/>
      <c r="Q18" s="2"/>
      <c r="R18" s="2"/>
      <c r="S18" s="2"/>
      <c r="T18" s="2"/>
      <c r="U18" s="2"/>
      <c r="V18" s="2"/>
      <c r="W18" s="2"/>
      <c r="X18" s="2"/>
      <c r="Y18" s="2"/>
      <c r="Z18" s="2"/>
      <c r="AA18" s="2"/>
      <c r="AB18" s="2"/>
      <c r="AC18" s="2"/>
      <c r="AD18" s="2"/>
      <c r="AE18" s="2"/>
      <c r="AF18" s="2"/>
      <c r="AG18" s="2"/>
      <c r="AH18" s="2"/>
      <c r="AI18" s="69"/>
      <c r="AJ18" s="69"/>
      <c r="AK18" s="69"/>
      <c r="AL18" s="69"/>
      <c r="AM18" s="69"/>
      <c r="AN18" s="69"/>
      <c r="AO18" s="69"/>
      <c r="AP18" s="69"/>
      <c r="AQ18" s="69"/>
      <c r="AR18" s="69"/>
      <c r="AS18" s="69"/>
      <c r="AT18" s="69"/>
      <c r="AU18" s="69"/>
      <c r="AV18" s="69"/>
      <c r="AW18" s="69"/>
      <c r="AX18" s="69"/>
      <c r="AY18" s="69"/>
      <c r="AZ18" s="69"/>
      <c r="BA18" s="69"/>
      <c r="BB18" s="69"/>
      <c r="BC18" s="69"/>
    </row>
    <row r="19" spans="1:55" x14ac:dyDescent="0.25">
      <c r="A19" s="56" t="s">
        <v>35</v>
      </c>
      <c r="B19" s="56" t="s">
        <v>36</v>
      </c>
      <c r="C19" s="2">
        <v>69</v>
      </c>
      <c r="D19" s="2">
        <v>31</v>
      </c>
      <c r="E19" s="2">
        <v>15</v>
      </c>
      <c r="F19" s="2">
        <v>22</v>
      </c>
      <c r="G19" s="2">
        <v>35</v>
      </c>
      <c r="H19" s="2">
        <v>28</v>
      </c>
      <c r="I19" s="2"/>
      <c r="J19" s="2"/>
      <c r="K19" s="2">
        <v>10</v>
      </c>
      <c r="L19" s="2">
        <v>17</v>
      </c>
      <c r="M19" s="2">
        <v>20</v>
      </c>
      <c r="N19" s="2">
        <v>24</v>
      </c>
      <c r="O19" s="2">
        <v>29</v>
      </c>
      <c r="P19" s="2"/>
      <c r="Q19" s="2"/>
      <c r="R19" s="2"/>
      <c r="S19" s="2"/>
      <c r="T19" s="2"/>
      <c r="U19" s="2"/>
      <c r="V19" s="2"/>
      <c r="W19" s="2"/>
      <c r="X19" s="2"/>
      <c r="Y19" s="2"/>
      <c r="Z19" s="2"/>
      <c r="AA19" s="2"/>
      <c r="AB19" s="2"/>
      <c r="AC19" s="2"/>
      <c r="AD19" s="2"/>
      <c r="AE19" s="2"/>
      <c r="AF19" s="2"/>
      <c r="AG19" s="2"/>
      <c r="AH19" s="2"/>
      <c r="AI19" s="69"/>
      <c r="AJ19" s="69"/>
      <c r="AK19" s="69"/>
      <c r="AL19" s="69"/>
      <c r="AM19" s="69"/>
      <c r="AN19" s="69"/>
      <c r="AO19" s="69"/>
      <c r="AP19" s="69"/>
      <c r="AQ19" s="69"/>
      <c r="AR19" s="69"/>
      <c r="AS19" s="69"/>
      <c r="AT19" s="69"/>
      <c r="AU19" s="69"/>
      <c r="AV19" s="69"/>
      <c r="AW19" s="69"/>
      <c r="AX19" s="69"/>
      <c r="AY19" s="69"/>
      <c r="AZ19" s="69"/>
      <c r="BA19" s="69"/>
      <c r="BB19" s="69"/>
      <c r="BC19" s="69"/>
    </row>
    <row r="20" spans="1:55" x14ac:dyDescent="0.25">
      <c r="A20" s="56" t="s">
        <v>38</v>
      </c>
      <c r="B20" s="56" t="s">
        <v>39</v>
      </c>
      <c r="C20" s="2">
        <v>68</v>
      </c>
      <c r="D20" s="2">
        <v>32</v>
      </c>
      <c r="E20" s="2">
        <v>15</v>
      </c>
      <c r="F20" s="2">
        <v>23</v>
      </c>
      <c r="G20" s="2">
        <v>34</v>
      </c>
      <c r="H20" s="2">
        <v>28</v>
      </c>
      <c r="I20" s="2"/>
      <c r="J20" s="2"/>
      <c r="K20" s="2">
        <v>27</v>
      </c>
      <c r="L20" s="2">
        <v>19</v>
      </c>
      <c r="M20" s="2">
        <v>19</v>
      </c>
      <c r="N20" s="2">
        <v>19</v>
      </c>
      <c r="O20" s="2">
        <v>15</v>
      </c>
      <c r="P20" s="2"/>
      <c r="Q20" s="2"/>
      <c r="R20" s="2"/>
      <c r="S20" s="2"/>
      <c r="T20" s="2"/>
      <c r="U20" s="2"/>
      <c r="V20" s="2"/>
      <c r="W20" s="2"/>
      <c r="X20" s="2"/>
      <c r="Y20" s="2"/>
      <c r="Z20" s="2"/>
      <c r="AA20" s="2"/>
      <c r="AB20" s="2"/>
      <c r="AC20" s="2"/>
      <c r="AD20" s="2"/>
      <c r="AE20" s="2"/>
      <c r="AF20" s="2"/>
      <c r="AG20" s="2"/>
      <c r="AH20" s="2"/>
      <c r="AI20" s="69"/>
      <c r="AJ20" s="69"/>
      <c r="AK20" s="69"/>
      <c r="AL20" s="69"/>
      <c r="AM20" s="69"/>
      <c r="AN20" s="69"/>
      <c r="AO20" s="69"/>
      <c r="AP20" s="69"/>
      <c r="AQ20" s="69"/>
      <c r="AR20" s="69"/>
      <c r="AS20" s="69"/>
      <c r="AT20" s="69"/>
      <c r="AU20" s="69"/>
      <c r="AV20" s="69"/>
      <c r="AW20" s="69"/>
      <c r="AX20" s="69"/>
      <c r="AY20" s="69"/>
      <c r="AZ20" s="69"/>
      <c r="BA20" s="69"/>
      <c r="BB20" s="69"/>
      <c r="BC20" s="69"/>
    </row>
    <row r="21" spans="1:55" x14ac:dyDescent="0.25">
      <c r="A21" s="58" t="s">
        <v>40</v>
      </c>
      <c r="B21" s="58" t="s">
        <v>41</v>
      </c>
      <c r="C21" s="2">
        <v>67</v>
      </c>
      <c r="D21" s="2">
        <v>33</v>
      </c>
      <c r="E21" s="2">
        <v>16</v>
      </c>
      <c r="F21" s="2">
        <v>23</v>
      </c>
      <c r="G21" s="2">
        <v>35</v>
      </c>
      <c r="H21" s="2">
        <v>25</v>
      </c>
      <c r="I21" s="2"/>
      <c r="J21" s="2"/>
      <c r="K21" s="2">
        <v>29</v>
      </c>
      <c r="L21" s="2">
        <v>17</v>
      </c>
      <c r="M21" s="2">
        <v>20</v>
      </c>
      <c r="N21" s="2">
        <v>19</v>
      </c>
      <c r="O21" s="2">
        <v>15</v>
      </c>
      <c r="P21" s="2"/>
      <c r="Q21" s="2"/>
      <c r="R21" s="2"/>
      <c r="S21" s="2"/>
      <c r="T21" s="2"/>
      <c r="U21" s="2"/>
      <c r="V21" s="2"/>
      <c r="W21" s="2"/>
      <c r="X21" s="2"/>
      <c r="Y21" s="2"/>
      <c r="Z21" s="2"/>
      <c r="AA21" s="2"/>
      <c r="AB21" s="2"/>
      <c r="AC21" s="2"/>
      <c r="AD21" s="2"/>
      <c r="AE21" s="2"/>
      <c r="AF21" s="2"/>
      <c r="AG21" s="2"/>
      <c r="AH21" s="2"/>
      <c r="AI21" s="70"/>
      <c r="AJ21" s="70"/>
      <c r="AK21" s="70"/>
      <c r="AL21" s="70"/>
      <c r="AM21" s="70"/>
      <c r="AN21" s="70"/>
      <c r="AO21" s="70"/>
      <c r="AP21" s="70"/>
      <c r="AQ21" s="70"/>
      <c r="AR21" s="70"/>
      <c r="AS21" s="70"/>
      <c r="AT21" s="70"/>
      <c r="AU21" s="70"/>
      <c r="AV21" s="70"/>
      <c r="AW21" s="70"/>
      <c r="AX21" s="70"/>
      <c r="AY21" s="70"/>
      <c r="AZ21" s="70"/>
      <c r="BA21" s="70"/>
      <c r="BB21" s="70"/>
      <c r="BC21" s="70"/>
    </row>
  </sheetData>
  <sortState xmlns:xlrd2="http://schemas.microsoft.com/office/spreadsheetml/2017/richdata2" ref="A1:BC21">
    <sortCondition ref="B1:B21"/>
  </sortState>
  <phoneticPr fontId="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79998168889431442"/>
  </sheetPr>
  <dimension ref="A1:N2"/>
  <sheetViews>
    <sheetView workbookViewId="0">
      <selection activeCell="J10" sqref="J10"/>
    </sheetView>
  </sheetViews>
  <sheetFormatPr defaultRowHeight="15" x14ac:dyDescent="0.25"/>
  <cols>
    <col min="1" max="1" width="7.7109375" bestFit="1" customWidth="1"/>
    <col min="15" max="15" width="31" customWidth="1"/>
  </cols>
  <sheetData>
    <row r="1" spans="1:14" x14ac:dyDescent="0.25">
      <c r="A1" s="29" t="s">
        <v>254</v>
      </c>
      <c r="B1" t="s">
        <v>419</v>
      </c>
      <c r="C1" t="s">
        <v>420</v>
      </c>
      <c r="D1" t="s">
        <v>421</v>
      </c>
      <c r="E1" t="s">
        <v>422</v>
      </c>
      <c r="F1" t="s">
        <v>423</v>
      </c>
      <c r="G1" t="s">
        <v>424</v>
      </c>
      <c r="J1" t="s">
        <v>301</v>
      </c>
      <c r="K1" t="s">
        <v>298</v>
      </c>
      <c r="L1" t="s">
        <v>299</v>
      </c>
      <c r="M1" t="s">
        <v>300</v>
      </c>
      <c r="N1" t="s">
        <v>297</v>
      </c>
    </row>
    <row r="2" spans="1:14" s="18" customFormat="1" x14ac:dyDescent="0.25">
      <c r="A2" s="30" t="s">
        <v>273</v>
      </c>
      <c r="B2" s="2">
        <v>68</v>
      </c>
      <c r="C2" s="2">
        <v>32</v>
      </c>
      <c r="D2" s="2">
        <v>16</v>
      </c>
      <c r="E2" s="2">
        <v>23</v>
      </c>
      <c r="F2" s="2">
        <v>35</v>
      </c>
      <c r="G2" s="2">
        <v>27</v>
      </c>
      <c r="H2" s="2"/>
      <c r="I2" s="2"/>
      <c r="J2" s="2">
        <v>20</v>
      </c>
      <c r="K2" s="2">
        <v>20</v>
      </c>
      <c r="L2" s="2">
        <v>21</v>
      </c>
      <c r="M2" s="2">
        <v>20</v>
      </c>
      <c r="N2" s="2">
        <v>19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ce595a-391a-49ba-8c57-a5ba7e233401">
      <UserInfo>
        <DisplayName>Ella Barber</DisplayName>
        <AccountId>15</AccountId>
        <AccountType/>
      </UserInfo>
      <UserInfo>
        <DisplayName>Julie Nossiter</DisplayName>
        <AccountId>18</AccountId>
        <AccountType/>
      </UserInfo>
      <UserInfo>
        <DisplayName>Verity Walker</DisplayName>
        <AccountId>53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7E42A658625949A23FAF559764E968" ma:contentTypeVersion="6" ma:contentTypeDescription="Create a new document." ma:contentTypeScope="" ma:versionID="69f600d0983b046f3042b9f56c0ff49a">
  <xsd:schema xmlns:xsd="http://www.w3.org/2001/XMLSchema" xmlns:xs="http://www.w3.org/2001/XMLSchema" xmlns:p="http://schemas.microsoft.com/office/2006/metadata/properties" xmlns:ns2="25d0d7a6-2c38-4afc-9b32-c346c435ea26" xmlns:ns3="c5ce595a-391a-49ba-8c57-a5ba7e233401" targetNamespace="http://schemas.microsoft.com/office/2006/metadata/properties" ma:root="true" ma:fieldsID="4f172bc30ae71be8e9d504b4cf72d2bd" ns2:_="" ns3:_="">
    <xsd:import namespace="25d0d7a6-2c38-4afc-9b32-c346c435ea26"/>
    <xsd:import namespace="c5ce595a-391a-49ba-8c57-a5ba7e23340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0d7a6-2c38-4afc-9b32-c346c435ea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e595a-391a-49ba-8c57-a5ba7e23340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E7265DE0-9FDD-46E2-9A48-33AE64C459B4}">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5ce595a-391a-49ba-8c57-a5ba7e233401"/>
    <ds:schemaRef ds:uri="http://purl.org/dc/elements/1.1/"/>
    <ds:schemaRef ds:uri="25d0d7a6-2c38-4afc-9b32-c346c435ea26"/>
    <ds:schemaRef ds:uri="http://www.w3.org/XML/1998/namespace"/>
    <ds:schemaRef ds:uri="http://purl.org/dc/dcmitype/"/>
  </ds:schemaRefs>
</ds:datastoreItem>
</file>

<file path=customXml/itemProps2.xml><?xml version="1.0" encoding="utf-8"?>
<ds:datastoreItem xmlns:ds="http://schemas.openxmlformats.org/officeDocument/2006/customXml" ds:itemID="{B799BBAF-2B7B-4BE9-ACB8-390D485DDD5D}">
  <ds:schemaRefs>
    <ds:schemaRef ds:uri="http://schemas.microsoft.com/sharepoint/v3/contenttype/forms"/>
  </ds:schemaRefs>
</ds:datastoreItem>
</file>

<file path=customXml/itemProps3.xml><?xml version="1.0" encoding="utf-8"?>
<ds:datastoreItem xmlns:ds="http://schemas.openxmlformats.org/officeDocument/2006/customXml" ds:itemID="{F3CE5453-F717-4F32-BEE1-DA4584CE72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d0d7a6-2c38-4afc-9b32-c346c435ea26"/>
    <ds:schemaRef ds:uri="c5ce595a-391a-49ba-8c57-a5ba7e2334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74FF676-B9CF-4EB4-AE44-19C2AF8358B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67</vt:i4>
      </vt:variant>
    </vt:vector>
  </HeadingPairs>
  <TitlesOfParts>
    <vt:vector size="81" baseType="lpstr">
      <vt:lpstr>Cover sheet</vt:lpstr>
      <vt:lpstr>Introduction</vt:lpstr>
      <vt:lpstr>Explanations</vt:lpstr>
      <vt:lpstr>Acknowledgements</vt:lpstr>
      <vt:lpstr>Data quality dashboard</vt:lpstr>
      <vt:lpstr>Patient characteristics</vt:lpstr>
      <vt:lpstr>Links</vt:lpstr>
      <vt:lpstr>Lists</vt:lpstr>
      <vt:lpstr>trust_data_quality</vt:lpstr>
      <vt:lpstr>alliance_data_quality</vt:lpstr>
      <vt:lpstr>national_data_quality</vt:lpstr>
      <vt:lpstr>trust_patient_char</vt:lpstr>
      <vt:lpstr>alliance_patient_chars</vt:lpstr>
      <vt:lpstr>national_patient_chars</vt:lpstr>
      <vt:lpstr>alliance_dq_cols</vt:lpstr>
      <vt:lpstr>alliance_dq_rows</vt:lpstr>
      <vt:lpstr>alliance_dq_table</vt:lpstr>
      <vt:lpstr>alliance_ptc_cols</vt:lpstr>
      <vt:lpstr>alliance_ptc_rows</vt:lpstr>
      <vt:lpstr>alliance_ptc_table</vt:lpstr>
      <vt:lpstr>denom_missing</vt:lpstr>
      <vt:lpstr>dq_cell_ref_col_names</vt:lpstr>
      <vt:lpstr>dq_cell_ref_matrix</vt:lpstr>
      <vt:lpstr>dq_cell_ref_row_names</vt:lpstr>
      <vt:lpstr>dq_cell_ref_table</vt:lpstr>
      <vt:lpstr>end_date_england</vt:lpstr>
      <vt:lpstr>end_date_england_char</vt:lpstr>
      <vt:lpstr>Figure_Xaxis_labels</vt:lpstr>
      <vt:lpstr>indic_cell_ref_col_names</vt:lpstr>
      <vt:lpstr>indic_cell_ref_matrix</vt:lpstr>
      <vt:lpstr>indic_cell_ref_row_names</vt:lpstr>
      <vt:lpstr>n_ca</vt:lpstr>
      <vt:lpstr>n_trusts</vt:lpstr>
      <vt:lpstr>n_trusts_in_CA</vt:lpstr>
      <vt:lpstr>national_dq_cols</vt:lpstr>
      <vt:lpstr>national_dq_table</vt:lpstr>
      <vt:lpstr>national_ptc_cols</vt:lpstr>
      <vt:lpstr>national_ptc_row</vt:lpstr>
      <vt:lpstr>'Cover sheet'!Print_Area</vt:lpstr>
      <vt:lpstr>Explanations!Print_Area</vt:lpstr>
      <vt:lpstr>publication_year</vt:lpstr>
      <vt:lpstr>selected_dq_datasource_l</vt:lpstr>
      <vt:lpstr>selected_dq_datasource_xc</vt:lpstr>
      <vt:lpstr>selected_dq_datavar_l</vt:lpstr>
      <vt:lpstr>selected_dq_datavar_xc</vt:lpstr>
      <vt:lpstr>selected_dq_denom_l</vt:lpstr>
      <vt:lpstr>selected_dq_denom_xc</vt:lpstr>
      <vt:lpstr>selected_dq_denomdescr_l</vt:lpstr>
      <vt:lpstr>selected_dq_denomdescr_xc</vt:lpstr>
      <vt:lpstr>selected_dq_descr_l</vt:lpstr>
      <vt:lpstr>selected_dq_descr_xc</vt:lpstr>
      <vt:lpstr>selected_dq_name_l</vt:lpstr>
      <vt:lpstr>selected_dq_name_xc</vt:lpstr>
      <vt:lpstr>selected_dq_num_l</vt:lpstr>
      <vt:lpstr>selected_dq_num_xc</vt:lpstr>
      <vt:lpstr>selected_dq_target_l</vt:lpstr>
      <vt:lpstr>selected_dq_target_xc</vt:lpstr>
      <vt:lpstr>selected_dq_time_l</vt:lpstr>
      <vt:lpstr>selected_dq_time_xc</vt:lpstr>
      <vt:lpstr>selected_trust_ptc</vt:lpstr>
      <vt:lpstr>selected_trust_ptc_ca_code</vt:lpstr>
      <vt:lpstr>selected_trust_ptc_ca_name</vt:lpstr>
      <vt:lpstr>selected_trust_ptc_code</vt:lpstr>
      <vt:lpstr>selected_trust_xc</vt:lpstr>
      <vt:lpstr>selected_trust_xc_ca_code</vt:lpstr>
      <vt:lpstr>selected_trust_xc_ca_name</vt:lpstr>
      <vt:lpstr>selected_trust_xc_code</vt:lpstr>
      <vt:lpstr>start_date_england</vt:lpstr>
      <vt:lpstr>start_date_england_char</vt:lpstr>
      <vt:lpstr>table_national_dq</vt:lpstr>
      <vt:lpstr>table_trust_ca</vt:lpstr>
      <vt:lpstr>table_trust_ca_assoc</vt:lpstr>
      <vt:lpstr>table_trust_dq</vt:lpstr>
      <vt:lpstr>table_trusts_per_CA</vt:lpstr>
      <vt:lpstr>trust_dq_cols</vt:lpstr>
      <vt:lpstr>trust_dq_rows</vt:lpstr>
      <vt:lpstr>trust_dq_table</vt:lpstr>
      <vt:lpstr>trust_ptc_cols</vt:lpstr>
      <vt:lpstr>trust_ptc_rows</vt:lpstr>
      <vt:lpstr>trust_ptc_table</vt:lpstr>
      <vt:lpstr>trusts_per_CA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NATCAN</dc:creator>
  <cp:lastModifiedBy>Karen Darley</cp:lastModifiedBy>
  <cp:lastPrinted>2024-06-26T08:37:57Z</cp:lastPrinted>
  <dcterms:created xsi:type="dcterms:W3CDTF">2023-03-10T15:09:40Z</dcterms:created>
  <dcterms:modified xsi:type="dcterms:W3CDTF">2024-09-23T15:01:13Z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0x010100EC7E42A658625949A23FAF559764E968</vt:lpwstr>
  </property>
</Properties>
</file>